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2.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65491" windowWidth="9720" windowHeight="6405" tabRatio="672" firstSheet="3" activeTab="3"/>
  </bookViews>
  <sheets>
    <sheet name="INCOME Y-T-Y" sheetId="1" state="hidden" r:id="rId1"/>
    <sheet name="(11) Balance Sheet-p1 (2-3)" sheetId="2" state="hidden" r:id="rId2"/>
    <sheet name="EXPENSES (p11)" sheetId="3" state="hidden" r:id="rId3"/>
    <sheet name="Balance Sheet-1" sheetId="4" r:id="rId4"/>
    <sheet name="(9)Equity YTD4" sheetId="5" state="hidden" r:id="rId5"/>
    <sheet name="(8)Earned Incurred YTD6" sheetId="6" state="hidden" r:id="rId6"/>
    <sheet name="(7)Premiums YTD8" sheetId="7" state="hidden" r:id="rId7"/>
    <sheet name="Income Statement-2" sheetId="8" r:id="rId8"/>
    <sheet name="Equity QTD-3" sheetId="9" r:id="rId9"/>
    <sheet name="Earned Incurred QTD-4" sheetId="10" r:id="rId10"/>
    <sheet name="Premiums QTD-5" sheetId="11" r:id="rId11"/>
    <sheet name="Losses Incurred QTD-6" sheetId="12" r:id="rId12"/>
    <sheet name="Loss Expenses QTD-7" sheetId="13" r:id="rId13"/>
    <sheet name="(6)Losses Incurred YTD-p1" sheetId="14" state="hidden" r:id="rId14"/>
    <sheet name="(6)Losses Incurred YTD10" sheetId="15" state="hidden" r:id="rId15"/>
    <sheet name="(4)Loss Expenses YTD12" sheetId="16" state="hidden" r:id="rId16"/>
    <sheet name="IBNR JE2" sheetId="17" state="hidden" r:id="rId17"/>
    <sheet name="(1)ULEP-YTD17" sheetId="18" state="hidden" r:id="rId18"/>
    <sheet name="Business Summary" sheetId="19" state="hidden" r:id="rId19"/>
  </sheets>
  <externalReferences>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xlnm.Print_Area" localSheetId="17">'(1)ULEP-YTD17'!$A$1:$G$55</definedName>
    <definedName name="_xlnm.Print_Area" localSheetId="1">'(11) Balance Sheet-p1 (2-3)'!$B$1:$I$47</definedName>
    <definedName name="_xlnm.Print_Area" localSheetId="15">'(4)Loss Expenses YTD12'!$A$1:$H$30</definedName>
    <definedName name="_xlnm.Print_Area" localSheetId="14">'(6)Losses Incurred YTD10'!$A$1:$H$38</definedName>
    <definedName name="_xlnm.Print_Area" localSheetId="13">'(6)Losses Incurred YTD-p1'!$A$1:$G$37</definedName>
    <definedName name="_xlnm.Print_Area" localSheetId="6">'(7)Premiums YTD8'!$A$1:$H$39</definedName>
    <definedName name="_xlnm.Print_Area" localSheetId="5">'(8)Earned Incurred YTD6'!$A$1:$D$54</definedName>
    <definedName name="_xlnm.Print_Area" localSheetId="4">'(9)Equity YTD4'!$A$1:$G$62</definedName>
    <definedName name="_xlnm.Print_Area" localSheetId="2">'EXPENSES (p11)'!$A$1:$T$76</definedName>
    <definedName name="_xlnm.Print_Area" localSheetId="16">'IBNR JE2'!$A$1:$E$25</definedName>
  </definedNames>
  <calcPr fullCalcOnLoad="1"/>
</workbook>
</file>

<file path=xl/comments19.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<sst xmlns="http://schemas.openxmlformats.org/spreadsheetml/2006/main" count="914" uniqueCount="490">
  <si>
    <t xml:space="preserve">     NET GAIN FOR PERIOD</t>
  </si>
  <si>
    <t>Total TRIA</t>
  </si>
  <si>
    <t>CURRENT LOSS EXPENSE RESERVES                    @ 3-31-07</t>
  </si>
  <si>
    <t>1. Outside consulting fees</t>
  </si>
  <si>
    <t>2. Contribution to Charities</t>
  </si>
  <si>
    <t>TOTALS EXPENSES INCURRED</t>
  </si>
  <si>
    <t>Less: unpaid expenses - current year</t>
  </si>
  <si>
    <t>TOTAL EXPENSES PAID</t>
  </si>
  <si>
    <t>Equipment and Maintenance &amp; Repair</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</si>
  <si>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</si>
  <si>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</si>
  <si>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</si>
  <si>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</si>
  <si>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</si>
  <si>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</si>
  <si>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</si>
  <si>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</si>
  <si>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</si>
  <si>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</si>
  <si>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</si>
  <si>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</si>
  <si>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</si>
  <si>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</si>
  <si>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</si>
  <si>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</si>
  <si>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</si>
  <si>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</si>
  <si>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</si>
  <si>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</si>
  <si>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</si>
  <si>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</si>
  <si>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</si>
  <si>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</si>
  <si>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</si>
  <si>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</si>
  <si>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</si>
  <si>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</si>
  <si>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</si>
  <si>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</si>
  <si>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</si>
  <si>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</si>
  <si>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</si>
  <si>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</si>
  <si>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</si>
  <si>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</si>
  <si>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</si>
  <si>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</si>
  <si>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</si>
  <si>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</si>
  <si>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</si>
  <si>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</si>
  <si>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</si>
  <si>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</si>
  <si>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</si>
  <si>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</si>
  <si>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</si>
  <si>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</si>
  <si>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</si>
  <si>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</si>
  <si>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</si>
  <si>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</si>
  <si>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</si>
  <si>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</si>
  <si>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</si>
  <si>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</si>
  <si>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</si>
  <si>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</si>
  <si>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</si>
  <si>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</si>
  <si>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</si>
  <si>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</si>
  <si>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</si>
  <si>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</si>
  <si>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</si>
  <si>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</si>
  <si>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</si>
  <si>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</si>
  <si>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</si>
  <si>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</si>
  <si>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</si>
  <si>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</si>
  <si>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</si>
  <si>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</si>
  <si>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</si>
  <si>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</si>
  <si>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</si>
  <si>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</si>
  <si>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</si>
  <si>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</si>
  <si>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</si>
  <si>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</si>
  <si>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</si>
  <si>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</si>
  <si>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</si>
  <si>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</si>
  <si>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</si>
  <si>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</si>
  <si>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</si>
  <si>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</si>
  <si>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</si>
  <si>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</si>
  <si>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</si>
  <si>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</si>
  <si>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</si>
  <si>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</si>
  <si>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</si>
  <si>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</si>
  <si>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</si>
  <si>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</si>
  <si>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</si>
  <si>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</si>
  <si>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</si>
  <si>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</si>
  <si>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</si>
  <si>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</si>
  <si>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</si>
  <si>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</si>
  <si>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</si>
  <si>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</si>
  <si>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</si>
  <si>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</si>
  <si>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</si>
  <si>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</si>
  <si>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</si>
  <si>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</si>
  <si>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</si>
  <si>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</si>
  <si>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</si>
  <si>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</si>
  <si>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</si>
  <si>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</si>
  <si>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</si>
  <si>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</si>
  <si>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</si>
  <si>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</si>
  <si>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</si>
  <si>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</si>
  <si>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</si>
  <si>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</si>
  <si>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</si>
  <si>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</si>
  <si>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</si>
  <si>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</si>
  <si>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</si>
  <si>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</si>
  <si>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</si>
  <si>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</si>
  <si>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</si>
  <si>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</si>
  <si>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</si>
  <si>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</si>
  <si>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</si>
  <si>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</si>
  <si>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</si>
  <si>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</si>
  <si>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</si>
  <si>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</si>
  <si>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</si>
  <si>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</si>
  <si>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</si>
  <si>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</si>
  <si>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</si>
  <si>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</si>
  <si>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</si>
  <si>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</si>
  <si>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</si>
  <si>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</si>
  <si>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</si>
  <si>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</si>
  <si>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</si>
  <si>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</si>
  <si>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</si>
  <si>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</si>
  <si>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</si>
  <si>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</si>
  <si>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</si>
  <si>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</si>
  <si>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</si>
  <si>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</si>
  <si>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</si>
  <si>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</si>
  <si>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</si>
  <si>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</si>
  <si>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</si>
  <si>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</si>
  <si>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</si>
  <si>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</si>
  <si>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</si>
  <si>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</si>
  <si>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</si>
  <si>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</si>
  <si>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</si>
  <si>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</si>
  <si>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</si>
  <si>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</si>
  <si>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</si>
  <si>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</si>
  <si>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</si>
  <si>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</si>
  <si>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</si>
  <si>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</si>
  <si>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</si>
  <si>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</si>
  <si>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</si>
  <si>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</si>
  <si>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</si>
  <si>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</si>
  <si>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</si>
  <si>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</si>
  <si>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</si>
  <si>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</si>
  <si>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</si>
  <si>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</si>
  <si>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</si>
  <si>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</si>
  <si>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</si>
  <si>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</si>
  <si>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</si>
  <si>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</si>
  <si>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</si>
  <si>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</si>
  <si>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</si>
  <si>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</si>
  <si>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</si>
  <si>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</si>
  <si>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</si>
  <si>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</si>
  <si>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</si>
  <si>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</si>
  <si>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</si>
  <si>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</si>
  <si>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</si>
  <si>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</si>
  <si>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</si>
  <si>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</si>
  <si>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</si>
  <si>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</si>
  <si>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</si>
  <si>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</si>
  <si>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</si>
  <si>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</si>
  <si>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</si>
  <si>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</si>
  <si>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</si>
  <si>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</si>
  <si>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</si>
  <si>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</si>
  <si>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</si>
  <si>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</si>
  <si>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</si>
  <si>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</si>
  <si>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</si>
  <si>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</si>
  <si>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</si>
  <si>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</si>
  <si>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</si>
  <si>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</si>
  <si>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</si>
  <si>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</si>
  <si>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</si>
  <si>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</si>
  <si>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</si>
  <si>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</si>
  <si>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</si>
  <si>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</si>
  <si>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</si>
  <si>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</si>
  <si>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</si>
  <si>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</si>
  <si>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</si>
  <si>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</si>
  <si>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</si>
  <si>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</si>
  <si>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</si>
  <si>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</si>
  <si>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</si>
  <si>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</si>
  <si>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</si>
  <si>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</si>
  <si>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</si>
  <si>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</si>
  <si>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</si>
  <si>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</si>
  <si>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</si>
  <si>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</si>
  <si>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 xml:space="preserve">         TOTAL DEDUCTIONS</t>
  </si>
  <si>
    <t xml:space="preserve">Underwriting Gain </t>
  </si>
  <si>
    <t xml:space="preserve">Net Gain </t>
  </si>
  <si>
    <t>LOSS EXPENSES PAID                                      (ALAE AND ULAE)</t>
  </si>
  <si>
    <t>POLICY YEAR 2005</t>
  </si>
  <si>
    <t xml:space="preserve">     PREMIUMS RECEIVABLE</t>
  </si>
  <si>
    <t xml:space="preserve">     CASH &amp; SHORT-TERM INVESTMENTS</t>
  </si>
  <si>
    <t xml:space="preserve">     EDP - EQUIPMENT &amp; SOFTWARE</t>
  </si>
  <si>
    <t>POLICY YEAR 2006</t>
  </si>
  <si>
    <t>Net of Salvage &amp; Subrogation Received</t>
  </si>
  <si>
    <t>(Including I.B.N.R. Reserves)</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</si>
  <si>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</si>
  <si>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</si>
  <si>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</si>
  <si>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</si>
  <si>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</si>
  <si>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</si>
  <si>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</si>
  <si>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</si>
  <si>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</si>
  <si>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</si>
  <si>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</si>
  <si>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</si>
  <si>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</si>
  <si>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</si>
  <si>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</si>
  <si>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</si>
  <si>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</si>
  <si>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</si>
  <si>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</si>
  <si>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</si>
  <si>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</si>
  <si>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</si>
  <si>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</si>
  <si>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</si>
  <si>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</si>
  <si>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</si>
  <si>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</si>
  <si>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</si>
  <si>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</si>
  <si>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</si>
  <si>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</si>
  <si>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</si>
  <si>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</si>
  <si>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</si>
  <si>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</si>
  <si>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</si>
  <si>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</si>
  <si>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</si>
  <si>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</si>
  <si>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</si>
  <si>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</si>
  <si>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</si>
  <si>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</si>
  <si>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</si>
  <si>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</si>
  <si>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</si>
  <si>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</si>
  <si>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</si>
  <si>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</si>
  <si>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</si>
  <si>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</si>
  <si>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</si>
  <si>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</si>
  <si>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</si>
  <si>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</si>
  <si>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</si>
  <si>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</si>
  <si>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</si>
  <si>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</si>
  <si>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</si>
  <si>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</si>
  <si>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</si>
  <si>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</si>
  <si>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</si>
  <si>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</si>
  <si>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</si>
  <si>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</si>
  <si>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</si>
  <si>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</si>
  <si>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</si>
  <si>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</si>
  <si>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</si>
  <si>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</si>
  <si>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</si>
  <si>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</si>
  <si>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</si>
  <si>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</si>
  <si>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</si>
  <si>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</si>
  <si>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</si>
  <si>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</si>
  <si>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</si>
  <si>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</si>
  <si>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</si>
  <si>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</si>
  <si>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</si>
  <si>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</si>
  <si>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</si>
  <si>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</si>
  <si>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</si>
  <si>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</si>
  <si>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</si>
  <si>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</si>
  <si>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</si>
  <si>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</si>
  <si>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</si>
  <si>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</si>
  <si>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</si>
  <si>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</si>
  <si>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</si>
  <si>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</si>
  <si>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</si>
  <si>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</si>
  <si>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</si>
  <si>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</si>
  <si>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</si>
  <si>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</si>
  <si>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</si>
  <si>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</si>
  <si>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</si>
  <si>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</si>
  <si>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</si>
  <si>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</si>
  <si>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</si>
  <si>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</si>
  <si>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</si>
  <si>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</si>
  <si>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</si>
  <si>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</si>
  <si>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</si>
  <si>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</si>
  <si>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</si>
  <si>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</si>
  <si>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</si>
  <si>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</si>
  <si>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</si>
  <si>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</si>
  <si>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</si>
  <si>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</si>
  <si>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</si>
  <si>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</si>
  <si>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</si>
  <si>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</si>
  <si>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</si>
  <si>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</si>
  <si>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</si>
  <si>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</si>
  <si>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</si>
  <si>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</si>
  <si>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</si>
  <si>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</si>
  <si>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</si>
  <si>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</si>
  <si>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</si>
  <si>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</si>
  <si>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</si>
  <si>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</si>
  <si>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</si>
  <si>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</si>
  <si>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</si>
  <si>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</si>
  <si>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</si>
  <si>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</si>
  <si>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</si>
  <si>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</si>
  <si>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</si>
  <si>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</si>
  <si>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</si>
  <si>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</si>
  <si>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</si>
  <si>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</si>
  <si>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</si>
  <si>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</si>
  <si>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</si>
  <si>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</si>
  <si>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</si>
  <si>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</si>
  <si>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</si>
  <si>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</si>
  <si>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</si>
  <si>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</si>
  <si>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</si>
  <si>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</si>
  <si>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QTD PERIOD ENDED MARCH 31, 2007</t>
  </si>
  <si>
    <t>3-31-07</t>
  </si>
  <si>
    <t xml:space="preserve"> UNDERWRITING GAIN </t>
  </si>
  <si>
    <t xml:space="preserve"> NET GAIN </t>
  </si>
  <si>
    <t>AT MARCH 31, 2007</t>
  </si>
  <si>
    <t>PRIOR LOSS  EXPENSE RESERVES                     @ 12-31-06</t>
  </si>
  <si>
    <t>CURRENT CASE BASIS RESERVES (3-31-07)</t>
  </si>
  <si>
    <t>CURRENT I.B.N.R. RESERVES (3-31-07)</t>
  </si>
  <si>
    <t>PRIOR LOSS RESERVES (12-31-06)</t>
  </si>
  <si>
    <t>CURRENT UNEARNED PREMIUM RESERVE              @ 3-31-07</t>
  </si>
  <si>
    <t>PRIOR UNEARNED PREMIUM RESERVE                     @ 12-31-06</t>
  </si>
  <si>
    <t>NET EQUITY AT MARCH 31,  2007</t>
  </si>
  <si>
    <t xml:space="preserve">     NET EQUITY AT MARCH 31, 2007</t>
  </si>
  <si>
    <t>POLICY YEAR 2007</t>
  </si>
  <si>
    <t>POLICY YEAR 2003 &amp; PRIOR</t>
  </si>
  <si>
    <t>1Q07</t>
  </si>
  <si>
    <r>
      <t xml:space="preserve">                                           </t>
    </r>
    <r>
      <rPr>
        <b/>
        <sz val="9"/>
        <rFont val="Century Schoolbook"/>
        <family val="1"/>
      </rPr>
      <t xml:space="preserve">      1Q06</t>
    </r>
    <r>
      <rPr>
        <sz val="9"/>
        <rFont val="Century Schoolbook"/>
        <family val="1"/>
      </rPr>
      <t xml:space="preserve">          440,212</t>
    </r>
  </si>
  <si>
    <r>
      <t xml:space="preserve">                                           </t>
    </r>
    <r>
      <rPr>
        <b/>
        <sz val="9"/>
        <rFont val="Century Schoolbook"/>
        <family val="1"/>
      </rPr>
      <t xml:space="preserve">      2Q06</t>
    </r>
    <r>
      <rPr>
        <sz val="9"/>
        <rFont val="Century Schoolbook"/>
        <family val="1"/>
      </rPr>
      <t xml:space="preserve">          517,214</t>
    </r>
  </si>
  <si>
    <r>
      <t xml:space="preserve">                                           </t>
    </r>
    <r>
      <rPr>
        <b/>
        <sz val="9"/>
        <rFont val="Century Schoolbook"/>
        <family val="1"/>
      </rPr>
      <t xml:space="preserve">      3Q06</t>
    </r>
    <r>
      <rPr>
        <sz val="9"/>
        <rFont val="Century Schoolbook"/>
        <family val="1"/>
      </rPr>
      <t xml:space="preserve">          498,272</t>
    </r>
  </si>
  <si>
    <r>
      <t xml:space="preserve">                                           </t>
    </r>
    <r>
      <rPr>
        <b/>
        <sz val="9"/>
        <rFont val="Century Schoolbook"/>
        <family val="1"/>
      </rPr>
      <t xml:space="preserve">      4Q06</t>
    </r>
    <r>
      <rPr>
        <sz val="9"/>
        <rFont val="Century Schoolbook"/>
        <family val="1"/>
      </rPr>
      <t xml:space="preserve">          502,822</t>
    </r>
  </si>
  <si>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five quarters:</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</si>
</sst>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0\);&quot;  -  &quot;"/>
    <numFmt numFmtId="174" formatCode="&quot;$&quot;#,###,##0;\(&quot;$&quot;#,###,##0\);&quot;  -  &quot;"/>
    <numFmt numFmtId="175" formatCode="m/d/yy"/>
    <numFmt numFmtId="176" formatCode="#,###,##0.00;\(#,###,##0.00\);&quot;  -  &quot;"/>
    <numFmt numFmtId="177" formatCode="&quot;$&quot;#,##0;\(&quot;$&quot;#,##0\)"/>
    <numFmt numFmtId="178" formatCode="#,##0;\(#,##0\)"/>
  </numFmts>
  <fonts count="70">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sz val="10"/>
      <color indexed="8"/>
      <name val="Arial"/>
      <family val="2"/>
    </font>
    <font>
      <u val="single"/>
      <sz val="10"/>
      <name val="Century Schoolbook"/>
      <family val="1"/>
    </font>
    <font>
      <b/>
      <sz val="9"/>
      <name val="Century Schoolbook"/>
      <family val="1"/>
    </font>
    <font>
      <b/>
      <sz val="8"/>
      <name val="Arial"/>
      <family val="2"/>
    </font>
  </fonts>
  <fills count="8">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66" fillId="0" borderId="0" applyNumberFormat="0" applyBorder="0" applyAlignment="0">
      <protection/>
    </xf>
  </cellStyleXfs>
  <cellXfs count="1046">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164" fontId="5" fillId="0" borderId="0" xfId="15" applyNumberFormat="1" applyFont="1" applyBorder="1" applyAlignment="1">
      <alignmen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1" xfId="0" applyNumberFormat="1" applyFont="1" applyBorder="1" applyAlignment="1">
      <alignment horizontal="center" wrapText="1"/>
    </xf>
    <xf numFmtId="7" fontId="10" fillId="0" borderId="22" xfId="0" applyNumberFormat="1" applyFont="1" applyBorder="1" applyAlignment="1">
      <alignment horizontal="center" wrapText="1"/>
    </xf>
    <xf numFmtId="7" fontId="14" fillId="0" borderId="22" xfId="0" applyNumberFormat="1" applyFont="1" applyBorder="1" applyAlignment="1">
      <alignment horizontal="left" wrapText="1"/>
    </xf>
    <xf numFmtId="7" fontId="10" fillId="0" borderId="22" xfId="0" applyNumberFormat="1" applyFont="1" applyBorder="1" applyAlignment="1">
      <alignment horizontal="left" wrapText="1"/>
    </xf>
    <xf numFmtId="7" fontId="10" fillId="0" borderId="23"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1" xfId="15" applyNumberFormat="1" applyFont="1" applyFill="1" applyBorder="1" applyAlignment="1">
      <alignment horizontal="right"/>
    </xf>
    <xf numFmtId="5" fontId="14" fillId="0" borderId="22" xfId="15" applyNumberFormat="1" applyFont="1" applyFill="1" applyBorder="1" applyAlignment="1">
      <alignment horizontal="right"/>
    </xf>
    <xf numFmtId="5" fontId="10" fillId="0" borderId="24"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2" xfId="15" applyFont="1" applyFill="1" applyBorder="1" applyAlignment="1">
      <alignment horizontal="right"/>
    </xf>
    <xf numFmtId="164" fontId="14" fillId="0" borderId="22" xfId="15" applyNumberFormat="1" applyFont="1" applyFill="1" applyBorder="1" applyAlignment="1">
      <alignment horizontal="right"/>
    </xf>
    <xf numFmtId="164" fontId="35" fillId="0" borderId="22"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5" xfId="15" applyNumberFormat="1" applyFont="1" applyBorder="1" applyAlignment="1">
      <alignment/>
    </xf>
    <xf numFmtId="164" fontId="14" fillId="0" borderId="26" xfId="15" applyNumberFormat="1" applyFont="1" applyBorder="1" applyAlignment="1">
      <alignment/>
    </xf>
    <xf numFmtId="164" fontId="14" fillId="0" borderId="27"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7" xfId="15" applyNumberFormat="1" applyFont="1" applyFill="1" applyBorder="1" applyAlignment="1">
      <alignment/>
    </xf>
    <xf numFmtId="164" fontId="5" fillId="0" borderId="5" xfId="15" applyNumberFormat="1" applyFont="1" applyFill="1" applyBorder="1" applyAlignment="1">
      <alignment/>
    </xf>
    <xf numFmtId="164" fontId="8" fillId="0" borderId="28"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0" fillId="2" borderId="4" xfId="15" applyNumberFormat="1" applyFont="1" applyFill="1" applyBorder="1" applyAlignment="1">
      <alignment horizontal="centerContinuous"/>
    </xf>
    <xf numFmtId="164" fontId="14" fillId="0" borderId="20" xfId="15" applyNumberFormat="1" applyFont="1" applyBorder="1" applyAlignment="1">
      <alignment horizontal="right"/>
    </xf>
    <xf numFmtId="164" fontId="14" fillId="6" borderId="25" xfId="15" applyNumberFormat="1" applyFont="1" applyBorder="1" applyAlignment="1">
      <alignment horizontal="right"/>
    </xf>
    <xf numFmtId="164" fontId="14" fillId="0" borderId="27"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5" xfId="15" applyNumberFormat="1" applyFont="1" applyBorder="1" applyAlignment="1">
      <alignment horizontal="right"/>
    </xf>
    <xf numFmtId="164" fontId="14" fillId="0" borderId="25" xfId="15" applyNumberFormat="1" applyFont="1" applyBorder="1" applyAlignment="1">
      <alignment horizontal="right"/>
    </xf>
    <xf numFmtId="164" fontId="10" fillId="6" borderId="29" xfId="15" applyNumberFormat="1" applyFont="1" applyBorder="1" applyAlignment="1">
      <alignment horizontal="righ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5" xfId="15" applyNumberFormat="1" applyFont="1" applyBorder="1" applyAlignment="1">
      <alignment horizontal="centerContinuous"/>
    </xf>
    <xf numFmtId="5" fontId="10" fillId="2" borderId="30" xfId="15" applyNumberFormat="1" applyFont="1" applyFill="1" applyBorder="1" applyAlignment="1" quotePrefix="1">
      <alignment horizontal="centerContinuous"/>
    </xf>
    <xf numFmtId="5" fontId="10" fillId="2" borderId="31"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7"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30" xfId="15" applyNumberFormat="1" applyFont="1" applyBorder="1" applyAlignment="1">
      <alignment horizontal="centerContinuous"/>
    </xf>
    <xf numFmtId="5" fontId="10" fillId="0" borderId="31"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5" xfId="15" applyNumberFormat="1" applyFont="1" applyBorder="1" applyAlignment="1">
      <alignment horizontal="right"/>
    </xf>
    <xf numFmtId="5" fontId="14" fillId="0" borderId="27" xfId="15" applyNumberFormat="1" applyFont="1" applyBorder="1" applyAlignment="1">
      <alignment horizontal="right"/>
    </xf>
    <xf numFmtId="5" fontId="14" fillId="0" borderId="4" xfId="15" applyNumberFormat="1" applyFont="1" applyBorder="1" applyAlignment="1">
      <alignment horizontal="right"/>
    </xf>
    <xf numFmtId="5" fontId="10" fillId="6" borderId="25"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7"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5"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5" xfId="15" applyNumberFormat="1" applyFont="1" applyBorder="1" applyAlignment="1">
      <alignment horizontal="right" wrapText="1"/>
    </xf>
    <xf numFmtId="0" fontId="14" fillId="0" borderId="21" xfId="0" applyFont="1" applyBorder="1" applyAlignment="1">
      <alignment horizontal="left"/>
    </xf>
    <xf numFmtId="0" fontId="14" fillId="0" borderId="22" xfId="0" applyFont="1" applyBorder="1" applyAlignment="1">
      <alignment horizontal="left"/>
    </xf>
    <xf numFmtId="164" fontId="14" fillId="0" borderId="22" xfId="15" applyNumberFormat="1" applyFont="1" applyBorder="1" applyAlignment="1">
      <alignment/>
    </xf>
    <xf numFmtId="164" fontId="14" fillId="0" borderId="22" xfId="15" applyNumberFormat="1" applyFont="1" applyBorder="1" applyAlignment="1">
      <alignment horizontal="left"/>
    </xf>
    <xf numFmtId="164" fontId="14" fillId="0" borderId="22" xfId="0" applyNumberFormat="1" applyFont="1" applyBorder="1" applyAlignment="1">
      <alignment horizontal="left"/>
    </xf>
    <xf numFmtId="164" fontId="14" fillId="0" borderId="4" xfId="15" applyNumberFormat="1" applyFont="1" applyBorder="1" applyAlignment="1">
      <alignment horizontal="left"/>
    </xf>
    <xf numFmtId="43" fontId="14" fillId="0" borderId="22" xfId="15" applyFont="1" applyBorder="1" applyAlignment="1">
      <alignment/>
    </xf>
    <xf numFmtId="164" fontId="14" fillId="0" borderId="22" xfId="15" applyNumberFormat="1" applyFont="1" applyBorder="1" applyAlignment="1">
      <alignment/>
    </xf>
    <xf numFmtId="164" fontId="14" fillId="0" borderId="22"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5"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5"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5"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29" xfId="15" applyNumberFormat="1" applyFont="1" applyFill="1" applyBorder="1" applyAlignment="1">
      <alignment horizontal="right"/>
    </xf>
    <xf numFmtId="7" fontId="10" fillId="0" borderId="27"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5"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5"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7" fontId="13" fillId="0" borderId="0" xfId="0" applyNumberFormat="1" applyFont="1" applyFill="1" applyBorder="1" applyAlignment="1" quotePrefix="1">
      <alignment horizontal="center"/>
    </xf>
    <xf numFmtId="164" fontId="47" fillId="0" borderId="0" xfId="15" applyNumberFormat="1" applyFont="1" applyBorder="1" applyAlignment="1">
      <alignment/>
    </xf>
    <xf numFmtId="164" fontId="6" fillId="0" borderId="0" xfId="15" applyNumberFormat="1" applyFont="1" applyBorder="1" applyAlignment="1">
      <alignment/>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4" fillId="0" borderId="0" xfId="0" applyFont="1" applyFill="1" applyBorder="1" applyAlignment="1">
      <alignment horizontal="left" wrapText="1"/>
    </xf>
    <xf numFmtId="164" fontId="14" fillId="0" borderId="0" xfId="0" applyNumberFormat="1" applyFont="1" applyFill="1" applyBorder="1" applyAlignment="1">
      <alignment/>
    </xf>
    <xf numFmtId="0" fontId="14" fillId="0" borderId="0" xfId="0" applyFont="1" applyBorder="1" applyAlignment="1">
      <alignment wrapText="1"/>
    </xf>
    <xf numFmtId="43" fontId="14" fillId="0" borderId="0" xfId="15" applyNumberFormat="1" applyFont="1" applyBorder="1" applyAlignment="1">
      <alignment horizontal="centerContinuous"/>
    </xf>
    <xf numFmtId="43" fontId="14" fillId="0" borderId="25"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43" fontId="10" fillId="0" borderId="0" xfId="15" applyNumberFormat="1" applyFont="1" applyBorder="1" applyAlignment="1">
      <alignment horizontal="right"/>
    </xf>
    <xf numFmtId="164" fontId="21" fillId="7" borderId="0" xfId="15" applyNumberFormat="1" applyFont="1" applyFill="1" applyBorder="1" applyAlignment="1">
      <alignment horizontal="center" wrapText="1"/>
    </xf>
    <xf numFmtId="5" fontId="10" fillId="0" borderId="0" xfId="15" applyNumberFormat="1" applyFont="1" applyAlignment="1">
      <alignment horizontal="right"/>
    </xf>
    <xf numFmtId="14" fontId="65" fillId="0" borderId="0" xfId="15" applyNumberFormat="1" applyFont="1" applyAlignment="1" quotePrefix="1">
      <alignment horizontal="right"/>
    </xf>
    <xf numFmtId="37" fontId="14" fillId="0" borderId="0" xfId="15" applyNumberFormat="1" applyFont="1" applyBorder="1" applyAlignment="1">
      <alignment/>
    </xf>
    <xf numFmtId="164" fontId="10" fillId="0" borderId="0" xfId="15" applyNumberFormat="1" applyFont="1" applyFill="1" applyAlignment="1">
      <alignment horizontal="centerContinuous"/>
    </xf>
    <xf numFmtId="164" fontId="10"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164" fontId="14" fillId="0" borderId="0" xfId="15" applyNumberFormat="1" applyFont="1" applyBorder="1" applyAlignment="1">
      <alignment/>
    </xf>
    <xf numFmtId="0" fontId="14" fillId="0" borderId="0" xfId="0" applyFont="1" applyBorder="1" applyAlignment="1">
      <alignment/>
    </xf>
    <xf numFmtId="43" fontId="5" fillId="0" borderId="0" xfId="0" applyNumberFormat="1" applyFont="1" applyBorder="1" applyAlignment="1">
      <alignment/>
    </xf>
    <xf numFmtId="172" fontId="8" fillId="0" borderId="0" xfId="15" applyNumberFormat="1" applyFont="1" applyAlignment="1">
      <alignment horizontal="left"/>
    </xf>
    <xf numFmtId="172" fontId="5" fillId="0" borderId="0" xfId="15" applyNumberFormat="1" applyFont="1" applyAlignment="1">
      <alignment horizontal="centerContinuous"/>
    </xf>
    <xf numFmtId="172" fontId="8" fillId="0" borderId="0" xfId="15" applyNumberFormat="1" applyFont="1" applyFill="1" applyAlignment="1">
      <alignment horizontal="centerContinuous"/>
    </xf>
    <xf numFmtId="172" fontId="5" fillId="0" borderId="0" xfId="15" applyNumberFormat="1" applyFont="1" applyAlignment="1">
      <alignment/>
    </xf>
    <xf numFmtId="43" fontId="8" fillId="0" borderId="0" xfId="0" applyNumberFormat="1" applyFont="1" applyBorder="1" applyAlignment="1">
      <alignment horizontal="left"/>
    </xf>
    <xf numFmtId="172" fontId="5" fillId="0" borderId="0" xfId="15" applyNumberFormat="1" applyFont="1" applyBorder="1" applyAlignment="1">
      <alignment/>
    </xf>
    <xf numFmtId="0" fontId="10" fillId="0" borderId="0" xfId="0" applyFont="1" applyFill="1" applyBorder="1" applyAlignment="1">
      <alignment horizontal="centerContinuous"/>
    </xf>
    <xf numFmtId="0" fontId="14" fillId="0" borderId="0" xfId="0" applyFont="1" applyBorder="1" applyAlignment="1">
      <alignment horizontal="centerContinuous"/>
    </xf>
    <xf numFmtId="164" fontId="14" fillId="0" borderId="0" xfId="15" applyNumberFormat="1" applyFont="1" applyAlignment="1">
      <alignment/>
    </xf>
    <xf numFmtId="164" fontId="14" fillId="0" borderId="0" xfId="15" applyNumberFormat="1" applyFont="1" applyBorder="1" applyAlignment="1">
      <alignment horizontal="right"/>
    </xf>
    <xf numFmtId="0" fontId="14" fillId="0" borderId="0" xfId="0" applyFont="1" applyBorder="1" applyAlignment="1">
      <alignment horizontal="right"/>
    </xf>
    <xf numFmtId="164" fontId="14" fillId="0" borderId="0" xfId="0" applyNumberFormat="1" applyFont="1" applyBorder="1" applyAlignment="1">
      <alignment horizontal="right"/>
    </xf>
    <xf numFmtId="0" fontId="46" fillId="0" borderId="0" xfId="0" applyFont="1" applyBorder="1" applyAlignment="1">
      <alignment horizontal="centerContinuous"/>
    </xf>
    <xf numFmtId="0" fontId="5" fillId="0" borderId="0" xfId="0" applyFont="1" applyAlignment="1">
      <alignment/>
    </xf>
    <xf numFmtId="7" fontId="5" fillId="0" borderId="0" xfId="0" applyNumberFormat="1" applyFont="1" applyAlignment="1">
      <alignment/>
    </xf>
    <xf numFmtId="43" fontId="5" fillId="0" borderId="0" xfId="0" applyNumberFormat="1" applyFont="1" applyAlignment="1">
      <alignment/>
    </xf>
    <xf numFmtId="6" fontId="8" fillId="0" borderId="6" xfId="0" applyNumberFormat="1" applyFont="1" applyBorder="1" applyAlignment="1">
      <alignment/>
    </xf>
    <xf numFmtId="0" fontId="10" fillId="0" borderId="0" xfId="0" applyFont="1" applyBorder="1" applyAlignment="1">
      <alignment horizontal="centerContinuous"/>
    </xf>
    <xf numFmtId="164" fontId="10" fillId="0" borderId="0" xfId="15" applyNumberFormat="1" applyFont="1" applyBorder="1" applyAlignment="1">
      <alignment horizontal="centerContinuous"/>
    </xf>
    <xf numFmtId="0" fontId="5" fillId="0" borderId="0" xfId="0" applyFont="1" applyBorder="1" applyAlignment="1">
      <alignment horizontal="left" wrapText="1"/>
    </xf>
    <xf numFmtId="164" fontId="21" fillId="7" borderId="0" xfId="15" applyNumberFormat="1" applyFont="1" applyFill="1" applyAlignment="1">
      <alignment horizontal="centerContinuous" wrapText="1"/>
    </xf>
    <xf numFmtId="164" fontId="21" fillId="7" borderId="0" xfId="15" applyNumberFormat="1" applyFont="1" applyFill="1" applyBorder="1" applyAlignment="1">
      <alignment horizontal="centerContinuous" wrapText="1"/>
    </xf>
    <xf numFmtId="0" fontId="8" fillId="0" borderId="0" xfId="0" applyFont="1" applyBorder="1" applyAlignment="1">
      <alignment horizontal="center" wrapText="1"/>
    </xf>
    <xf numFmtId="5" fontId="5" fillId="0" borderId="0" xfId="17" applyNumberFormat="1" applyFont="1" applyBorder="1" applyAlignment="1">
      <alignment horizontal="right"/>
    </xf>
    <xf numFmtId="164" fontId="5" fillId="0" borderId="0" xfId="15" applyNumberFormat="1" applyFont="1" applyBorder="1" applyAlignment="1">
      <alignment horizontal="left" wrapText="1"/>
    </xf>
    <xf numFmtId="164" fontId="5" fillId="0" borderId="0" xfId="15" applyNumberFormat="1" applyFont="1" applyFill="1" applyAlignment="1">
      <alignment horizontal="right"/>
    </xf>
    <xf numFmtId="164" fontId="5" fillId="0" borderId="0" xfId="15" applyNumberFormat="1" applyFont="1" applyBorder="1" applyAlignment="1">
      <alignment horizontal="right"/>
    </xf>
    <xf numFmtId="0" fontId="5" fillId="0" borderId="0" xfId="0" applyFont="1" applyBorder="1" applyAlignment="1">
      <alignment horizontal="right"/>
    </xf>
    <xf numFmtId="38" fontId="5" fillId="0" borderId="0" xfId="0" applyNumberFormat="1" applyFont="1" applyBorder="1" applyAlignment="1">
      <alignment/>
    </xf>
    <xf numFmtId="38" fontId="5" fillId="0" borderId="0" xfId="0" applyNumberFormat="1" applyFont="1" applyBorder="1" applyAlignment="1">
      <alignment horizontal="right"/>
    </xf>
    <xf numFmtId="38" fontId="8" fillId="0" borderId="0" xfId="0" applyNumberFormat="1" applyFont="1" applyBorder="1" applyAlignment="1">
      <alignment/>
    </xf>
    <xf numFmtId="164" fontId="5" fillId="0" borderId="5" xfId="15" applyNumberFormat="1" applyFont="1" applyBorder="1" applyAlignment="1">
      <alignment horizontal="right"/>
    </xf>
    <xf numFmtId="164" fontId="8" fillId="0" borderId="6" xfId="15" applyNumberFormat="1" applyFont="1" applyBorder="1" applyAlignment="1">
      <alignment horizontal="right"/>
    </xf>
    <xf numFmtId="38" fontId="8" fillId="0" borderId="0" xfId="0" applyNumberFormat="1" applyFont="1" applyBorder="1" applyAlignment="1">
      <alignment horizontal="center" wrapText="1"/>
    </xf>
    <xf numFmtId="164" fontId="5" fillId="0" borderId="5" xfId="15" applyNumberFormat="1" applyFont="1" applyFill="1" applyBorder="1" applyAlignment="1">
      <alignment horizontal="right"/>
    </xf>
    <xf numFmtId="164" fontId="24" fillId="0" borderId="0" xfId="15" applyNumberFormat="1" applyFont="1" applyBorder="1" applyAlignment="1">
      <alignment horizontal="right"/>
    </xf>
    <xf numFmtId="164" fontId="42" fillId="0" borderId="0" xfId="15" applyNumberFormat="1" applyFont="1" applyFill="1" applyAlignment="1">
      <alignment horizontal="right"/>
    </xf>
    <xf numFmtId="164" fontId="67" fillId="0" borderId="0" xfId="15" applyNumberFormat="1" applyFont="1" applyBorder="1" applyAlignment="1">
      <alignment horizontal="right"/>
    </xf>
    <xf numFmtId="38" fontId="42" fillId="0" borderId="0" xfId="0" applyNumberFormat="1" applyFont="1" applyBorder="1" applyAlignment="1">
      <alignment/>
    </xf>
    <xf numFmtId="38" fontId="42" fillId="0" borderId="0" xfId="0" applyNumberFormat="1" applyFont="1" applyBorder="1" applyAlignment="1">
      <alignment horizontal="right"/>
    </xf>
    <xf numFmtId="38" fontId="5" fillId="0" borderId="0" xfId="15" applyNumberFormat="1" applyFont="1" applyBorder="1" applyAlignment="1">
      <alignment horizontal="right"/>
    </xf>
    <xf numFmtId="0" fontId="8" fillId="0" borderId="0" xfId="0" applyFont="1" applyBorder="1" applyAlignment="1">
      <alignment/>
    </xf>
    <xf numFmtId="5" fontId="8" fillId="0" borderId="6" xfId="15" applyNumberFormat="1" applyFont="1" applyBorder="1" applyAlignment="1">
      <alignment horizontal="right"/>
    </xf>
    <xf numFmtId="6" fontId="8" fillId="0" borderId="6" xfId="15" applyNumberFormat="1" applyFont="1" applyBorder="1" applyAlignment="1">
      <alignment horizontal="right"/>
    </xf>
    <xf numFmtId="7" fontId="10" fillId="0" borderId="0" xfId="0" applyNumberFormat="1" applyFont="1" applyFill="1" applyAlignment="1">
      <alignment horizontal="centerContinuous"/>
    </xf>
    <xf numFmtId="7" fontId="8" fillId="0" borderId="0" xfId="0" applyNumberFormat="1" applyFont="1" applyFill="1" applyAlignment="1">
      <alignment horizontal="left" wrapText="1"/>
    </xf>
    <xf numFmtId="7" fontId="21" fillId="7" borderId="0" xfId="15" applyNumberFormat="1" applyFont="1" applyFill="1" applyAlignment="1">
      <alignment horizontal="center" wrapText="1"/>
    </xf>
    <xf numFmtId="7" fontId="8" fillId="0" borderId="0" xfId="0" applyNumberFormat="1" applyFont="1" applyFill="1" applyAlignment="1">
      <alignment horizontal="center" wrapText="1"/>
    </xf>
    <xf numFmtId="7" fontId="5" fillId="0" borderId="0" xfId="15" applyNumberFormat="1" applyFont="1" applyFill="1" applyAlignment="1">
      <alignment/>
    </xf>
    <xf numFmtId="7" fontId="5" fillId="0" borderId="0" xfId="0" applyNumberFormat="1" applyFont="1" applyFill="1" applyAlignment="1">
      <alignment/>
    </xf>
    <xf numFmtId="5" fontId="5" fillId="0" borderId="0" xfId="15" applyNumberFormat="1" applyFont="1" applyFill="1" applyBorder="1" applyAlignment="1">
      <alignment horizontal="right"/>
    </xf>
    <xf numFmtId="6" fontId="5" fillId="0" borderId="0" xfId="15" applyNumberFormat="1" applyFont="1" applyFill="1" applyBorder="1" applyAlignment="1">
      <alignment horizontal="right"/>
    </xf>
    <xf numFmtId="0" fontId="8" fillId="0" borderId="0" xfId="0" applyFont="1" applyAlignment="1">
      <alignment horizontal="left" wrapText="1"/>
    </xf>
    <xf numFmtId="38" fontId="5" fillId="0" borderId="0" xfId="15" applyNumberFormat="1" applyFont="1" applyFill="1" applyAlignment="1">
      <alignment horizontal="right"/>
    </xf>
    <xf numFmtId="7" fontId="8" fillId="0" borderId="0" xfId="0" applyNumberFormat="1" applyFont="1" applyFill="1" applyAlignment="1">
      <alignment horizontal="center"/>
    </xf>
    <xf numFmtId="38" fontId="5" fillId="0" borderId="5" xfId="15" applyNumberFormat="1" applyFont="1" applyFill="1" applyBorder="1" applyAlignment="1">
      <alignment horizontal="right"/>
    </xf>
    <xf numFmtId="164" fontId="8" fillId="0" borderId="6" xfId="15" applyNumberFormat="1" applyFont="1" applyBorder="1" applyAlignment="1">
      <alignment/>
    </xf>
    <xf numFmtId="164" fontId="5" fillId="0" borderId="0" xfId="15" applyNumberFormat="1" applyFont="1" applyAlignment="1">
      <alignment/>
    </xf>
    <xf numFmtId="164" fontId="22" fillId="0" borderId="0" xfId="15" applyNumberFormat="1" applyFont="1" applyFill="1" applyBorder="1" applyAlignment="1">
      <alignment horizontal="right"/>
    </xf>
    <xf numFmtId="164" fontId="8" fillId="0" borderId="5" xfId="15" applyNumberFormat="1" applyFont="1" applyFill="1" applyBorder="1" applyAlignment="1">
      <alignment horizontal="right"/>
    </xf>
    <xf numFmtId="7" fontId="42" fillId="0" borderId="0" xfId="0" applyNumberFormat="1" applyFont="1" applyFill="1" applyAlignment="1">
      <alignment/>
    </xf>
    <xf numFmtId="38" fontId="42" fillId="0" borderId="0" xfId="0" applyNumberFormat="1" applyFont="1" applyAlignment="1">
      <alignment/>
    </xf>
    <xf numFmtId="7" fontId="5" fillId="0" borderId="0" xfId="0" applyNumberFormat="1" applyFont="1" applyFill="1" applyBorder="1" applyAlignment="1">
      <alignment horizontal="left"/>
    </xf>
    <xf numFmtId="5" fontId="8" fillId="0" borderId="6" xfId="15" applyNumberFormat="1" applyFont="1" applyFill="1" applyBorder="1" applyAlignment="1">
      <alignment horizontal="right"/>
    </xf>
    <xf numFmtId="38" fontId="8" fillId="0" borderId="6" xfId="15" applyNumberFormat="1" applyFont="1" applyFill="1" applyBorder="1" applyAlignment="1">
      <alignment horizontal="right"/>
    </xf>
    <xf numFmtId="164" fontId="5" fillId="0" borderId="6" xfId="15" applyNumberFormat="1" applyFont="1" applyFill="1" applyBorder="1" applyAlignment="1">
      <alignment horizontal="right"/>
    </xf>
    <xf numFmtId="43" fontId="10" fillId="0" borderId="0" xfId="0" applyNumberFormat="1" applyFont="1" applyBorder="1" applyAlignment="1">
      <alignment/>
    </xf>
    <xf numFmtId="172" fontId="8" fillId="0" borderId="0" xfId="15" applyNumberFormat="1" applyFont="1" applyAlignment="1">
      <alignment horizontal="left"/>
    </xf>
    <xf numFmtId="43" fontId="5" fillId="0" borderId="0" xfId="0" applyNumberFormat="1" applyFont="1" applyBorder="1" applyAlignment="1">
      <alignment/>
    </xf>
    <xf numFmtId="172" fontId="5" fillId="0" borderId="0" xfId="15" applyNumberFormat="1" applyFont="1" applyAlignment="1">
      <alignment/>
    </xf>
    <xf numFmtId="172" fontId="5" fillId="0" borderId="0" xfId="15" applyNumberFormat="1" applyFont="1" applyFill="1" applyAlignment="1">
      <alignment/>
    </xf>
    <xf numFmtId="172" fontId="5" fillId="0" borderId="0" xfId="15" applyNumberFormat="1" applyFont="1" applyAlignment="1">
      <alignment horizontal="left"/>
    </xf>
    <xf numFmtId="164" fontId="5" fillId="0" borderId="0" xfId="15" applyNumberFormat="1" applyFont="1" applyAlignment="1">
      <alignment/>
    </xf>
    <xf numFmtId="172" fontId="8" fillId="0" borderId="0" xfId="15" applyNumberFormat="1" applyFont="1" applyAlignment="1">
      <alignment horizontal="center"/>
    </xf>
    <xf numFmtId="38" fontId="5" fillId="0" borderId="5" xfId="15" applyNumberFormat="1" applyFont="1" applyFill="1" applyBorder="1" applyAlignment="1">
      <alignment/>
    </xf>
    <xf numFmtId="164" fontId="5" fillId="0" borderId="5" xfId="15" applyNumberFormat="1" applyFont="1" applyBorder="1" applyAlignment="1">
      <alignment/>
    </xf>
    <xf numFmtId="164" fontId="8" fillId="0" borderId="6" xfId="15" applyNumberFormat="1" applyFont="1" applyBorder="1" applyAlignment="1">
      <alignment horizontal="center"/>
    </xf>
    <xf numFmtId="164" fontId="5" fillId="0" borderId="0" xfId="15" applyNumberFormat="1" applyFont="1" applyFill="1" applyAlignment="1">
      <alignment/>
    </xf>
    <xf numFmtId="164" fontId="8" fillId="0" borderId="6" xfId="15" applyNumberFormat="1" applyFont="1" applyBorder="1" applyAlignment="1">
      <alignment/>
    </xf>
    <xf numFmtId="164" fontId="5" fillId="0" borderId="0" xfId="15" applyNumberFormat="1" applyFont="1" applyBorder="1" applyAlignment="1">
      <alignment/>
    </xf>
    <xf numFmtId="172" fontId="5" fillId="0" borderId="0" xfId="15" applyNumberFormat="1" applyFont="1" applyAlignment="1">
      <alignment/>
    </xf>
    <xf numFmtId="38" fontId="5" fillId="0" borderId="0" xfId="15" applyNumberFormat="1" applyFont="1" applyAlignment="1">
      <alignment/>
    </xf>
    <xf numFmtId="38" fontId="8" fillId="0" borderId="6" xfId="15" applyNumberFormat="1" applyFont="1" applyBorder="1" applyAlignment="1">
      <alignment/>
    </xf>
    <xf numFmtId="164" fontId="42" fillId="0" borderId="0" xfId="15" applyNumberFormat="1" applyFont="1" applyFill="1" applyAlignment="1">
      <alignment/>
    </xf>
    <xf numFmtId="43" fontId="42" fillId="0" borderId="0" xfId="0" applyNumberFormat="1" applyFont="1" applyBorder="1" applyAlignment="1">
      <alignment/>
    </xf>
    <xf numFmtId="6" fontId="8" fillId="0" borderId="6" xfId="15" applyNumberFormat="1" applyFont="1" applyBorder="1" applyAlignment="1">
      <alignment/>
    </xf>
    <xf numFmtId="43" fontId="8" fillId="0" borderId="0" xfId="0" applyNumberFormat="1" applyFont="1" applyBorder="1" applyAlignment="1">
      <alignment horizontal="left"/>
    </xf>
    <xf numFmtId="172" fontId="5" fillId="0" borderId="0" xfId="15" applyNumberFormat="1" applyFont="1" applyBorder="1" applyAlignment="1">
      <alignment/>
    </xf>
    <xf numFmtId="172" fontId="8" fillId="0" borderId="0" xfId="15" applyNumberFormat="1" applyFont="1" applyBorder="1" applyAlignment="1">
      <alignment/>
    </xf>
    <xf numFmtId="43" fontId="5" fillId="0" borderId="20" xfId="0" applyNumberFormat="1" applyFont="1" applyBorder="1" applyAlignment="1">
      <alignment horizontal="center" wrapText="1"/>
    </xf>
    <xf numFmtId="164" fontId="8" fillId="7" borderId="30" xfId="15" applyNumberFormat="1" applyFont="1" applyFill="1" applyBorder="1" applyAlignment="1" quotePrefix="1">
      <alignment horizontal="centerContinuous"/>
    </xf>
    <xf numFmtId="43" fontId="8" fillId="7" borderId="31" xfId="15" applyNumberFormat="1" applyFont="1" applyFill="1" applyBorder="1" applyAlignment="1" quotePrefix="1">
      <alignment horizontal="centerContinuous" wrapText="1"/>
    </xf>
    <xf numFmtId="43" fontId="5" fillId="7" borderId="14" xfId="15" applyNumberFormat="1" applyFont="1" applyFill="1" applyBorder="1" applyAlignment="1">
      <alignment horizontal="centerContinuous"/>
    </xf>
    <xf numFmtId="43" fontId="8" fillId="7" borderId="27" xfId="15" applyNumberFormat="1" applyFont="1" applyFill="1" applyBorder="1" applyAlignment="1">
      <alignment horizontal="centerContinuous"/>
    </xf>
    <xf numFmtId="43" fontId="8" fillId="7" borderId="4" xfId="15" applyNumberFormat="1" applyFont="1" applyFill="1" applyBorder="1" applyAlignment="1">
      <alignment horizontal="centerContinuous"/>
    </xf>
    <xf numFmtId="43" fontId="8" fillId="7" borderId="15" xfId="15" applyNumberFormat="1" applyFont="1" applyFill="1" applyBorder="1" applyAlignment="1">
      <alignment horizontal="centerContinuous"/>
    </xf>
    <xf numFmtId="43" fontId="5" fillId="0" borderId="30" xfId="0" applyNumberFormat="1" applyFont="1" applyBorder="1" applyAlignment="1">
      <alignment horizontal="center" wrapText="1"/>
    </xf>
    <xf numFmtId="43" fontId="8" fillId="0" borderId="30" xfId="15" applyNumberFormat="1" applyFont="1" applyBorder="1" applyAlignment="1">
      <alignment horizontal="centerContinuous"/>
    </xf>
    <xf numFmtId="43" fontId="8" fillId="0" borderId="31" xfId="15" applyNumberFormat="1" applyFont="1" applyBorder="1" applyAlignment="1">
      <alignment horizontal="centerContinuous"/>
    </xf>
    <xf numFmtId="164" fontId="5" fillId="0" borderId="25" xfId="15" applyNumberFormat="1" applyFont="1" applyFill="1" applyBorder="1" applyAlignment="1">
      <alignment horizontal="right"/>
    </xf>
    <xf numFmtId="43" fontId="8" fillId="0" borderId="20" xfId="0" applyNumberFormat="1" applyFont="1" applyBorder="1" applyAlignment="1">
      <alignment horizontal="center" wrapText="1"/>
    </xf>
    <xf numFmtId="164" fontId="5" fillId="0" borderId="20" xfId="15" applyNumberFormat="1" applyFont="1" applyBorder="1" applyAlignment="1">
      <alignment horizontal="right"/>
    </xf>
    <xf numFmtId="5" fontId="8" fillId="0" borderId="0" xfId="15" applyNumberFormat="1" applyFont="1" applyFill="1" applyBorder="1" applyAlignment="1">
      <alignment horizontal="right"/>
    </xf>
    <xf numFmtId="43" fontId="5" fillId="0" borderId="20" xfId="0" applyNumberFormat="1" applyFont="1" applyBorder="1" applyAlignment="1">
      <alignment horizontal="left" wrapText="1"/>
    </xf>
    <xf numFmtId="164" fontId="5" fillId="0" borderId="27" xfId="15" applyNumberFormat="1" applyFont="1" applyBorder="1" applyAlignment="1">
      <alignment horizontal="right"/>
    </xf>
    <xf numFmtId="164" fontId="5" fillId="0" borderId="4" xfId="15" applyNumberFormat="1" applyFont="1" applyBorder="1" applyAlignment="1">
      <alignment horizontal="right"/>
    </xf>
    <xf numFmtId="5" fontId="8" fillId="0" borderId="15" xfId="15" applyNumberFormat="1" applyFont="1" applyFill="1" applyBorder="1" applyAlignment="1">
      <alignment horizontal="right"/>
    </xf>
    <xf numFmtId="38" fontId="5" fillId="0" borderId="4" xfId="15" applyNumberFormat="1" applyFont="1" applyBorder="1" applyAlignment="1">
      <alignment horizontal="right"/>
    </xf>
    <xf numFmtId="164" fontId="67" fillId="0" borderId="20" xfId="15" applyNumberFormat="1" applyFont="1" applyBorder="1" applyAlignment="1">
      <alignment horizontal="right"/>
    </xf>
    <xf numFmtId="164" fontId="5" fillId="0" borderId="0" xfId="0" applyNumberFormat="1" applyFont="1" applyBorder="1" applyAlignment="1">
      <alignment/>
    </xf>
    <xf numFmtId="164" fontId="5" fillId="0" borderId="15" xfId="15" applyNumberFormat="1" applyFont="1" applyFill="1" applyBorder="1" applyAlignment="1">
      <alignment horizontal="right"/>
    </xf>
    <xf numFmtId="5" fontId="8" fillId="0" borderId="25" xfId="15" applyNumberFormat="1" applyFont="1" applyFill="1" applyBorder="1" applyAlignment="1">
      <alignment horizontal="right"/>
    </xf>
    <xf numFmtId="164" fontId="8" fillId="0" borderId="0" xfId="15" applyNumberFormat="1" applyFont="1" applyBorder="1" applyAlignment="1">
      <alignment/>
    </xf>
    <xf numFmtId="164" fontId="5" fillId="0" borderId="29" xfId="15" applyNumberFormat="1" applyFont="1" applyFill="1" applyBorder="1" applyAlignment="1">
      <alignment horizontal="right"/>
    </xf>
    <xf numFmtId="37" fontId="5" fillId="0" borderId="0" xfId="0" applyNumberFormat="1" applyFont="1" applyBorder="1" applyAlignment="1">
      <alignment/>
    </xf>
    <xf numFmtId="6" fontId="5" fillId="0" borderId="0" xfId="0" applyNumberFormat="1" applyFont="1" applyBorder="1" applyAlignment="1">
      <alignment/>
    </xf>
    <xf numFmtId="43" fontId="8" fillId="0" borderId="20" xfId="0" applyNumberFormat="1" applyFont="1" applyBorder="1" applyAlignment="1">
      <alignment horizontal="left" wrapText="1"/>
    </xf>
    <xf numFmtId="43" fontId="8" fillId="0" borderId="27" xfId="0" applyNumberFormat="1" applyFont="1" applyBorder="1" applyAlignment="1">
      <alignment horizontal="left" wrapText="1"/>
    </xf>
    <xf numFmtId="165" fontId="5" fillId="0" borderId="0" xfId="17" applyNumberFormat="1" applyFont="1" applyBorder="1" applyAlignment="1">
      <alignment/>
    </xf>
    <xf numFmtId="43" fontId="8" fillId="0" borderId="0" xfId="0" applyNumberFormat="1" applyFont="1" applyFill="1" applyBorder="1" applyAlignment="1">
      <alignment horizontal="left" wrapText="1"/>
    </xf>
    <xf numFmtId="43" fontId="9" fillId="0" borderId="0" xfId="0" applyNumberFormat="1" applyFont="1" applyFill="1" applyBorder="1" applyAlignment="1">
      <alignment horizontal="left" wrapText="1"/>
    </xf>
    <xf numFmtId="164" fontId="9" fillId="0" borderId="0" xfId="0" applyNumberFormat="1" applyFont="1" applyFill="1" applyBorder="1" applyAlignment="1">
      <alignment horizontal="left" wrapText="1"/>
    </xf>
    <xf numFmtId="164" fontId="9" fillId="0" borderId="0" xfId="15" applyNumberFormat="1" applyFont="1" applyFill="1" applyBorder="1" applyAlignment="1">
      <alignment horizontal="left" wrapText="1"/>
    </xf>
    <xf numFmtId="43" fontId="5" fillId="0" borderId="0" xfId="0" applyNumberFormat="1" applyFont="1" applyFill="1" applyBorder="1" applyAlignment="1">
      <alignment/>
    </xf>
    <xf numFmtId="5" fontId="5" fillId="0" borderId="0" xfId="17" applyNumberFormat="1" applyFont="1" applyFill="1" applyBorder="1" applyAlignment="1">
      <alignment/>
    </xf>
    <xf numFmtId="6" fontId="5" fillId="0" borderId="0" xfId="17" applyNumberFormat="1" applyFont="1" applyFill="1" applyBorder="1" applyAlignment="1">
      <alignment/>
    </xf>
    <xf numFmtId="43" fontId="5" fillId="0" borderId="0" xfId="0" applyNumberFormat="1" applyFont="1" applyFill="1" applyBorder="1" applyAlignment="1">
      <alignment/>
    </xf>
    <xf numFmtId="164" fontId="5" fillId="0" borderId="5" xfId="15" applyNumberFormat="1" applyFont="1" applyFill="1" applyBorder="1" applyAlignment="1">
      <alignment/>
    </xf>
    <xf numFmtId="38" fontId="5" fillId="0" borderId="5" xfId="15" applyNumberFormat="1" applyFont="1" applyFill="1" applyBorder="1" applyAlignment="1">
      <alignment/>
    </xf>
    <xf numFmtId="164" fontId="8" fillId="0" borderId="6" xfId="15" applyNumberFormat="1" applyFont="1" applyFill="1" applyBorder="1" applyAlignment="1">
      <alignment/>
    </xf>
    <xf numFmtId="38" fontId="5" fillId="0" borderId="0" xfId="17" applyNumberFormat="1" applyFont="1" applyFill="1" applyBorder="1" applyAlignment="1">
      <alignment/>
    </xf>
    <xf numFmtId="43" fontId="5" fillId="0" borderId="0" xfId="0" applyNumberFormat="1" applyFont="1" applyFill="1" applyBorder="1" applyAlignment="1">
      <alignment horizontal="left"/>
    </xf>
    <xf numFmtId="43" fontId="8" fillId="0" borderId="0" xfId="0" applyNumberFormat="1" applyFont="1" applyFill="1" applyBorder="1" applyAlignment="1">
      <alignment/>
    </xf>
    <xf numFmtId="38" fontId="8" fillId="0" borderId="5" xfId="15" applyNumberFormat="1" applyFont="1" applyFill="1" applyBorder="1" applyAlignment="1">
      <alignment/>
    </xf>
    <xf numFmtId="38" fontId="8" fillId="0" borderId="6" xfId="15" applyNumberFormat="1" applyFont="1" applyFill="1" applyBorder="1" applyAlignment="1">
      <alignment/>
    </xf>
    <xf numFmtId="14" fontId="5" fillId="0" borderId="0" xfId="0" applyNumberFormat="1" applyFont="1" applyFill="1" applyBorder="1" applyAlignment="1">
      <alignment/>
    </xf>
    <xf numFmtId="43" fontId="9" fillId="0" borderId="0" xfId="0" applyNumberFormat="1" applyFont="1" applyFill="1" applyBorder="1" applyAlignment="1">
      <alignment/>
    </xf>
    <xf numFmtId="164" fontId="9" fillId="0" borderId="0" xfId="15" applyNumberFormat="1" applyFont="1" applyFill="1" applyBorder="1" applyAlignment="1">
      <alignment/>
    </xf>
    <xf numFmtId="43" fontId="5" fillId="0" borderId="0" xfId="0" applyNumberFormat="1" applyFont="1" applyFill="1" applyBorder="1" applyAlignment="1">
      <alignment horizontal="left" wrapText="1"/>
    </xf>
    <xf numFmtId="5" fontId="5" fillId="0" borderId="0" xfId="0" applyNumberFormat="1" applyFont="1" applyFill="1" applyBorder="1" applyAlignment="1">
      <alignment/>
    </xf>
    <xf numFmtId="6" fontId="8" fillId="0" borderId="6" xfId="15" applyNumberFormat="1" applyFont="1" applyFill="1" applyBorder="1" applyAlignment="1">
      <alignment/>
    </xf>
    <xf numFmtId="7" fontId="5" fillId="0" borderId="0" xfId="0" applyNumberFormat="1" applyFont="1" applyBorder="1" applyAlignment="1">
      <alignment/>
    </xf>
    <xf numFmtId="7" fontId="8" fillId="2" borderId="4" xfId="15" applyNumberFormat="1" applyFont="1" applyFill="1" applyBorder="1" applyAlignment="1">
      <alignment horizontal="centerContinuous"/>
    </xf>
    <xf numFmtId="7" fontId="8" fillId="2" borderId="0" xfId="15" applyNumberFormat="1" applyFont="1" applyFill="1" applyBorder="1" applyAlignment="1">
      <alignment horizontal="centerContinuous"/>
    </xf>
    <xf numFmtId="7" fontId="9" fillId="0" borderId="0" xfId="15" applyNumberFormat="1" applyFont="1" applyBorder="1" applyAlignment="1">
      <alignment/>
    </xf>
    <xf numFmtId="7" fontId="9" fillId="0" borderId="14" xfId="15" applyNumberFormat="1" applyFont="1" applyBorder="1" applyAlignment="1">
      <alignment/>
    </xf>
    <xf numFmtId="7" fontId="9" fillId="0" borderId="0" xfId="0" applyNumberFormat="1" applyFont="1" applyBorder="1" applyAlignment="1">
      <alignment/>
    </xf>
    <xf numFmtId="7" fontId="9" fillId="0" borderId="25" xfId="15" applyNumberFormat="1" applyFont="1" applyBorder="1" applyAlignment="1">
      <alignment/>
    </xf>
    <xf numFmtId="7" fontId="5" fillId="0" borderId="0" xfId="15" applyNumberFormat="1" applyFont="1" applyBorder="1" applyAlignment="1">
      <alignment/>
    </xf>
    <xf numFmtId="5" fontId="8" fillId="0" borderId="25" xfId="15" applyNumberFormat="1" applyFont="1" applyBorder="1" applyAlignment="1">
      <alignment/>
    </xf>
    <xf numFmtId="7" fontId="5" fillId="0" borderId="25" xfId="15" applyNumberFormat="1" applyFont="1" applyBorder="1" applyAlignment="1">
      <alignment/>
    </xf>
    <xf numFmtId="164" fontId="5" fillId="0" borderId="4" xfId="15" applyNumberFormat="1" applyFont="1" applyBorder="1" applyAlignment="1">
      <alignment/>
    </xf>
    <xf numFmtId="164" fontId="5" fillId="0" borderId="15" xfId="15" applyNumberFormat="1" applyFont="1" applyBorder="1" applyAlignment="1">
      <alignment/>
    </xf>
    <xf numFmtId="164" fontId="5" fillId="0" borderId="25" xfId="15" applyNumberFormat="1" applyFont="1" applyBorder="1" applyAlignment="1">
      <alignment/>
    </xf>
    <xf numFmtId="164" fontId="5" fillId="0" borderId="26" xfId="15" applyNumberFormat="1" applyFont="1" applyBorder="1" applyAlignment="1">
      <alignment/>
    </xf>
    <xf numFmtId="164" fontId="5" fillId="0" borderId="34" xfId="15" applyNumberFormat="1" applyFont="1" applyBorder="1" applyAlignment="1">
      <alignment/>
    </xf>
    <xf numFmtId="38" fontId="5" fillId="0" borderId="25" xfId="15" applyNumberFormat="1" applyFont="1" applyBorder="1" applyAlignment="1">
      <alignment/>
    </xf>
    <xf numFmtId="38" fontId="5" fillId="0" borderId="4" xfId="15" applyNumberFormat="1" applyFont="1" applyBorder="1" applyAlignment="1">
      <alignment/>
    </xf>
    <xf numFmtId="7" fontId="5" fillId="0" borderId="15" xfId="15" applyNumberFormat="1" applyFont="1" applyBorder="1" applyAlignment="1">
      <alignment/>
    </xf>
    <xf numFmtId="7" fontId="8" fillId="0" borderId="0" xfId="0" applyNumberFormat="1" applyFont="1" applyBorder="1" applyAlignment="1">
      <alignment/>
    </xf>
    <xf numFmtId="6" fontId="8" fillId="0" borderId="33" xfId="15" applyNumberFormat="1" applyFont="1" applyBorder="1" applyAlignment="1">
      <alignment/>
    </xf>
    <xf numFmtId="7" fontId="5" fillId="0" borderId="0" xfId="0" applyNumberFormat="1" applyFont="1" applyFill="1" applyBorder="1" applyAlignment="1">
      <alignment/>
    </xf>
    <xf numFmtId="5" fontId="21" fillId="7" borderId="0" xfId="15" applyNumberFormat="1" applyFont="1" applyFill="1" applyBorder="1" applyAlignment="1">
      <alignment horizontal="center" wrapText="1"/>
    </xf>
    <xf numFmtId="7" fontId="9" fillId="0" borderId="0" xfId="0" applyNumberFormat="1" applyFont="1" applyFill="1" applyBorder="1" applyAlignment="1">
      <alignment horizontal="left" wrapText="1"/>
    </xf>
    <xf numFmtId="5" fontId="5" fillId="0" borderId="21" xfId="15" applyNumberFormat="1" applyFont="1" applyFill="1" applyBorder="1" applyAlignment="1">
      <alignment horizontal="right"/>
    </xf>
    <xf numFmtId="7" fontId="5" fillId="0" borderId="0" xfId="18" applyNumberFormat="1" applyFont="1" applyFill="1" applyBorder="1" applyAlignment="1">
      <alignment horizontal="left" wrapText="1"/>
    </xf>
    <xf numFmtId="164" fontId="5" fillId="0" borderId="22" xfId="15" applyNumberFormat="1" applyFont="1" applyFill="1" applyBorder="1" applyAlignment="1">
      <alignment horizontal="right"/>
    </xf>
    <xf numFmtId="43" fontId="5" fillId="0" borderId="22" xfId="15" applyFont="1" applyFill="1" applyBorder="1" applyAlignment="1">
      <alignment horizontal="right"/>
    </xf>
    <xf numFmtId="5" fontId="5" fillId="0" borderId="22" xfId="15" applyNumberFormat="1" applyFont="1" applyFill="1" applyBorder="1" applyAlignment="1">
      <alignment horizontal="right"/>
    </xf>
    <xf numFmtId="164" fontId="5" fillId="0" borderId="0" xfId="0" applyNumberFormat="1" applyFont="1" applyAlignment="1">
      <alignment/>
    </xf>
    <xf numFmtId="7" fontId="8" fillId="0" borderId="0" xfId="18" applyNumberFormat="1" applyFont="1" applyFill="1" applyBorder="1" applyAlignment="1">
      <alignment horizontal="center" wrapText="1"/>
    </xf>
    <xf numFmtId="5" fontId="8" fillId="0" borderId="24" xfId="15" applyNumberFormat="1" applyFont="1" applyFill="1" applyBorder="1" applyAlignment="1">
      <alignment horizontal="right"/>
    </xf>
    <xf numFmtId="7" fontId="5" fillId="0" borderId="0" xfId="18" applyNumberFormat="1" applyFont="1" applyFill="1" applyBorder="1" applyAlignment="1">
      <alignment horizontal="right" wrapText="1"/>
    </xf>
    <xf numFmtId="7" fontId="9" fillId="0" borderId="0" xfId="18" applyNumberFormat="1" applyFont="1" applyFill="1" applyBorder="1" applyAlignment="1">
      <alignment horizontal="left" wrapText="1"/>
    </xf>
    <xf numFmtId="7" fontId="5" fillId="0" borderId="0" xfId="18" applyNumberFormat="1" applyFont="1" applyFill="1" applyBorder="1" applyAlignment="1">
      <alignment horizontal="left"/>
    </xf>
    <xf numFmtId="5" fontId="8" fillId="0" borderId="0" xfId="15" applyNumberFormat="1" applyFont="1" applyBorder="1" applyAlignment="1">
      <alignment horizontal="right"/>
    </xf>
    <xf numFmtId="164" fontId="5" fillId="0" borderId="4" xfId="15" applyNumberFormat="1" applyFont="1" applyFill="1" applyBorder="1" applyAlignment="1">
      <alignment horizontal="right"/>
    </xf>
    <xf numFmtId="7" fontId="8" fillId="0" borderId="0" xfId="18" applyNumberFormat="1" applyFont="1" applyFill="1" applyBorder="1" applyAlignment="1">
      <alignment horizontal="left"/>
    </xf>
    <xf numFmtId="5" fontId="8" fillId="0" borderId="4" xfId="15" applyNumberFormat="1" applyFont="1" applyFill="1" applyBorder="1" applyAlignment="1">
      <alignment horizontal="right"/>
    </xf>
    <xf numFmtId="38" fontId="8" fillId="0" borderId="0" xfId="15" applyNumberFormat="1" applyFont="1" applyFill="1" applyBorder="1" applyAlignment="1">
      <alignment horizontal="right"/>
    </xf>
    <xf numFmtId="5" fontId="8" fillId="0" borderId="6" xfId="17" applyNumberFormat="1" applyFont="1" applyFill="1" applyBorder="1" applyAlignment="1">
      <alignment horizontal="right"/>
    </xf>
    <xf numFmtId="5" fontId="65" fillId="0" borderId="0" xfId="15" applyNumberFormat="1" applyFont="1" applyAlignment="1">
      <alignment horizontal="right"/>
    </xf>
    <xf numFmtId="38" fontId="38" fillId="0" borderId="0" xfId="0" applyNumberFormat="1" applyFont="1" applyAlignment="1">
      <alignmen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38" fontId="68" fillId="0" borderId="0" xfId="0" applyNumberFormat="1" applyFont="1" applyAlignment="1">
      <alignment horizontal="right"/>
    </xf>
    <xf numFmtId="0" fontId="68"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7" fontId="18" fillId="0" borderId="0" xfId="0" applyNumberFormat="1" applyFont="1" applyFill="1" applyBorder="1" applyAlignment="1">
      <alignment horizontal="center"/>
    </xf>
    <xf numFmtId="7" fontId="10" fillId="0" borderId="0" xfId="0" applyNumberFormat="1" applyFont="1" applyFill="1" applyBorder="1" applyAlignment="1">
      <alignment horizontal="center"/>
    </xf>
    <xf numFmtId="7" fontId="10" fillId="0" borderId="0" xfId="0" applyNumberFormat="1" applyFont="1" applyFill="1" applyBorder="1" applyAlignment="1" quotePrefix="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0" fontId="1" fillId="0" borderId="0" xfId="0" applyFont="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5" xfId="15" applyNumberFormat="1" applyFont="1" applyFill="1" applyBorder="1" applyAlignment="1">
      <alignment horizontal="center" wrapText="1"/>
    </xf>
    <xf numFmtId="7" fontId="11" fillId="0" borderId="30" xfId="0" applyNumberFormat="1" applyFont="1" applyFill="1" applyBorder="1" applyAlignment="1">
      <alignment horizontal="center"/>
    </xf>
    <xf numFmtId="7" fontId="11" fillId="0" borderId="31"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5" xfId="0" applyNumberFormat="1" applyFont="1" applyFill="1" applyBorder="1" applyAlignment="1">
      <alignment horizontal="center"/>
    </xf>
    <xf numFmtId="7" fontId="13" fillId="0" borderId="20" xfId="0" applyNumberFormat="1" applyFont="1" applyFill="1" applyBorder="1" applyAlignment="1" quotePrefix="1">
      <alignment horizontal="center"/>
    </xf>
    <xf numFmtId="7" fontId="13" fillId="0" borderId="0" xfId="0" applyNumberFormat="1" applyFont="1" applyFill="1" applyBorder="1" applyAlignment="1" quotePrefix="1">
      <alignment horizontal="center"/>
    </xf>
    <xf numFmtId="7" fontId="13" fillId="0" borderId="25" xfId="0" applyNumberFormat="1" applyFont="1" applyFill="1" applyBorder="1" applyAlignment="1" quotePrefix="1">
      <alignment horizontal="center"/>
    </xf>
    <xf numFmtId="7" fontId="4" fillId="0" borderId="20" xfId="0" applyNumberFormat="1" applyFont="1" applyFill="1" applyBorder="1" applyAlignment="1">
      <alignment horizontal="center"/>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164" fontId="8" fillId="0" borderId="0" xfId="15" applyNumberFormat="1" applyFont="1" applyBorder="1" applyAlignment="1">
      <alignment horizontal="center"/>
    </xf>
    <xf numFmtId="40" fontId="4" fillId="0" borderId="0" xfId="0" applyNumberFormat="1" applyFont="1" applyFill="1" applyBorder="1" applyAlignment="1">
      <alignment horizontal="center"/>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5" xfId="0" applyNumberFormat="1" applyFont="1" applyBorder="1" applyAlignment="1">
      <alignment horizontal="center"/>
    </xf>
    <xf numFmtId="7" fontId="17" fillId="0" borderId="30" xfId="0" applyNumberFormat="1" applyFont="1" applyBorder="1" applyAlignment="1">
      <alignment horizontal="center"/>
    </xf>
    <xf numFmtId="7" fontId="17" fillId="0" borderId="31" xfId="0" applyNumberFormat="1" applyFont="1" applyBorder="1" applyAlignment="1">
      <alignment horizontal="center"/>
    </xf>
    <xf numFmtId="7" fontId="17" fillId="0" borderId="14" xfId="0" applyNumberFormat="1" applyFont="1" applyBorder="1" applyAlignment="1">
      <alignment horizontal="center"/>
    </xf>
    <xf numFmtId="7" fontId="4" fillId="0" borderId="25" xfId="0" applyNumberFormat="1" applyFont="1" applyFill="1" applyBorder="1" applyAlignment="1">
      <alignment horizontal="center"/>
    </xf>
    <xf numFmtId="0" fontId="18" fillId="0" borderId="31" xfId="0" applyFont="1" applyBorder="1" applyAlignment="1">
      <alignment horizontal="center"/>
    </xf>
    <xf numFmtId="0" fontId="18" fillId="0" borderId="14" xfId="0" applyFont="1" applyBorder="1" applyAlignment="1">
      <alignment horizontal="center"/>
    </xf>
    <xf numFmtId="0" fontId="18" fillId="0" borderId="30"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62" fillId="0" borderId="0" xfId="0" applyFont="1" applyAlignment="1">
      <alignment horizontal="left" vertical="center" wrapText="1"/>
    </xf>
    <xf numFmtId="0" fontId="63" fillId="0" borderId="0" xfId="0" applyFont="1" applyAlignment="1">
      <alignment horizontal="center" vertical="center" wrapText="1"/>
    </xf>
    <xf numFmtId="7" fontId="10" fillId="0" borderId="0" xfId="0" applyNumberFormat="1" applyFont="1" applyBorder="1" applyAlignment="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10" fillId="0" borderId="0" xfId="0" applyNumberFormat="1" applyFont="1" applyFill="1" applyBorder="1" applyAlignment="1">
      <alignment horizontal="center"/>
    </xf>
    <xf numFmtId="43" fontId="10" fillId="0" borderId="20" xfId="0" applyNumberFormat="1" applyFont="1" applyBorder="1" applyAlignment="1">
      <alignment horizontal="center"/>
    </xf>
    <xf numFmtId="43" fontId="10" fillId="0" borderId="0" xfId="0" applyNumberFormat="1" applyFont="1" applyBorder="1" applyAlignment="1">
      <alignment horizontal="center"/>
    </xf>
    <xf numFmtId="43" fontId="10" fillId="0" borderId="25" xfId="0" applyNumberFormat="1" applyFont="1" applyBorder="1" applyAlignment="1">
      <alignment horizontal="center"/>
    </xf>
    <xf numFmtId="43" fontId="18" fillId="0" borderId="30" xfId="0" applyNumberFormat="1" applyFont="1" applyBorder="1" applyAlignment="1">
      <alignment horizontal="center"/>
    </xf>
    <xf numFmtId="43" fontId="18" fillId="0" borderId="31" xfId="0" applyNumberFormat="1" applyFont="1" applyBorder="1" applyAlignment="1">
      <alignment horizontal="center"/>
    </xf>
    <xf numFmtId="43" fontId="18"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5" xfId="0" applyNumberFormat="1" applyFont="1" applyFill="1" applyBorder="1" applyAlignment="1">
      <alignment horizontal="center"/>
    </xf>
    <xf numFmtId="0" fontId="38" fillId="0" borderId="0" xfId="0" applyFont="1" applyAlignment="1">
      <alignment horizontal="left" vertical="center" wrapText="1"/>
    </xf>
    <xf numFmtId="0" fontId="32" fillId="0" borderId="0" xfId="0" applyFont="1" applyAlignment="1">
      <alignment horizontal="center" vertical="center" wrapText="1"/>
    </xf>
    <xf numFmtId="172" fontId="46" fillId="0" borderId="0" xfId="15" applyNumberFormat="1" applyFont="1" applyAlignment="1">
      <alignment horizontal="center"/>
    </xf>
    <xf numFmtId="172" fontId="10" fillId="0" borderId="0" xfId="15" applyNumberFormat="1" applyFont="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externalLink" Target="externalLinks/externalLink3.xml" /><Relationship Id="rId25" Type="http://schemas.openxmlformats.org/officeDocument/2006/relationships/externalLink" Target="externalLinks/externalLink4.xml" /><Relationship Id="rId26" Type="http://schemas.openxmlformats.org/officeDocument/2006/relationships/externalLink" Target="externalLinks/externalLink5.xml" /><Relationship Id="rId27" Type="http://schemas.openxmlformats.org/officeDocument/2006/relationships/externalLink" Target="externalLinks/externalLink6.xml" /><Relationship Id="rId28" Type="http://schemas.openxmlformats.org/officeDocument/2006/relationships/externalLink" Target="externalLinks/externalLink7.xml" /><Relationship Id="rId29" Type="http://schemas.openxmlformats.org/officeDocument/2006/relationships/externalLink" Target="externalLinks/externalLink8.xml" /><Relationship Id="rId30" Type="http://schemas.openxmlformats.org/officeDocument/2006/relationships/externalLink" Target="externalLinks/externalLink9.xml" /><Relationship Id="rId31" Type="http://schemas.openxmlformats.org/officeDocument/2006/relationships/externalLink" Target="externalLinks/externalLink10.xml" /><Relationship Id="rId32" Type="http://schemas.openxmlformats.org/officeDocument/2006/relationships/externalLink" Target="externalLinks/externalLink11.xml" /><Relationship Id="rId3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523875</xdr:rowOff>
    </xdr:to>
    <xdr:sp>
      <xdr:nvSpPr>
        <xdr:cNvPr id="1" name="AutoShape 1"/>
        <xdr:cNvSpPr>
          <a:spLocks/>
        </xdr:cNvSpPr>
      </xdr:nvSpPr>
      <xdr:spPr>
        <a:xfrm>
          <a:off x="1362075" y="1009650"/>
          <a:ext cx="1238250" cy="64770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61975"/>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Documents%20and%20Settings\ddauphin\Local%20Settings\Temporary%20Internet%20Files\OLKC1\1Q07%20Flux%20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Page 1"/>
      <sheetName val="Page 2"/>
      <sheetName val="Page 3"/>
      <sheetName val="Page 4"/>
      <sheetName val="Page 5"/>
      <sheetName val="1Q07 TB (ROUNDED)"/>
      <sheetName val="IBNR Calculation-8"/>
      <sheetName val="ALAE &amp; ULAE Calculation-9"/>
      <sheetName val="Loss Expenses QTD-10"/>
    </sheetNames>
    <sheetDataSet>
      <sheetData sheetId="5">
        <row r="17">
          <cell r="D17">
            <v>8664977</v>
          </cell>
        </row>
        <row r="21">
          <cell r="D21">
            <v>9605533</v>
          </cell>
        </row>
        <row r="24">
          <cell r="D24">
            <v>120014</v>
          </cell>
        </row>
        <row r="28">
          <cell r="D28">
            <v>67834</v>
          </cell>
        </row>
        <row r="56">
          <cell r="C56">
            <v>-4677635</v>
          </cell>
        </row>
        <row r="57">
          <cell r="C57">
            <v>-1316357</v>
          </cell>
        </row>
        <row r="58">
          <cell r="C58">
            <v>-11811</v>
          </cell>
        </row>
        <row r="60">
          <cell r="C60">
            <v>-3056244</v>
          </cell>
        </row>
        <row r="61">
          <cell r="C61">
            <v>-847286</v>
          </cell>
        </row>
        <row r="62">
          <cell r="C62">
            <v>-8535</v>
          </cell>
        </row>
        <row r="150">
          <cell r="D150">
            <v>-42846</v>
          </cell>
        </row>
        <row r="154">
          <cell r="D154">
            <v>-330</v>
          </cell>
        </row>
        <row r="158">
          <cell r="D158">
            <v>-337222</v>
          </cell>
        </row>
        <row r="167">
          <cell r="D167">
            <v>-248155</v>
          </cell>
        </row>
        <row r="197">
          <cell r="D197">
            <v>-189564</v>
          </cell>
        </row>
        <row r="200">
          <cell r="D200">
            <v>-1993932</v>
          </cell>
        </row>
        <row r="203">
          <cell r="D203">
            <v>-271962</v>
          </cell>
        </row>
        <row r="206">
          <cell r="D206">
            <v>-444602</v>
          </cell>
        </row>
        <row r="213">
          <cell r="D213">
            <v>-325920</v>
          </cell>
        </row>
        <row r="230">
          <cell r="C230">
            <v>4141</v>
          </cell>
        </row>
        <row r="231">
          <cell r="C231">
            <v>782</v>
          </cell>
        </row>
        <row r="233">
          <cell r="C233">
            <v>-25030</v>
          </cell>
        </row>
        <row r="234">
          <cell r="C234">
            <v>7234</v>
          </cell>
        </row>
        <row r="235">
          <cell r="C235">
            <v>115</v>
          </cell>
        </row>
        <row r="237">
          <cell r="C237">
            <v>-3497368</v>
          </cell>
        </row>
        <row r="238">
          <cell r="C238">
            <v>-971694</v>
          </cell>
        </row>
        <row r="239">
          <cell r="C239">
            <v>-9699</v>
          </cell>
        </row>
        <row r="270">
          <cell r="D270">
            <v>-260385</v>
          </cell>
        </row>
        <row r="284">
          <cell r="C284">
            <v>-25240</v>
          </cell>
        </row>
        <row r="286">
          <cell r="C286">
            <v>-20236</v>
          </cell>
        </row>
        <row r="287">
          <cell r="C287">
            <v>-8837</v>
          </cell>
        </row>
        <row r="289">
          <cell r="C289">
            <v>-41876</v>
          </cell>
        </row>
        <row r="291">
          <cell r="D291">
            <v>-96189</v>
          </cell>
        </row>
        <row r="409">
          <cell r="D409">
            <v>-492</v>
          </cell>
        </row>
        <row r="413">
          <cell r="D413">
            <v>5727</v>
          </cell>
        </row>
        <row r="417">
          <cell r="D417">
            <v>388635</v>
          </cell>
        </row>
        <row r="419">
          <cell r="D419">
            <v>393870</v>
          </cell>
        </row>
        <row r="422">
          <cell r="D422">
            <v>17929</v>
          </cell>
        </row>
        <row r="424">
          <cell r="D424">
            <v>3300</v>
          </cell>
        </row>
        <row r="427">
          <cell r="D427">
            <v>48627</v>
          </cell>
        </row>
        <row r="429">
          <cell r="D429">
            <v>69856</v>
          </cell>
        </row>
        <row r="723">
          <cell r="D723">
            <v>1156462</v>
          </cell>
        </row>
      </sheetData>
      <sheetData sheetId="6">
        <row r="9">
          <cell r="B9">
            <v>0</v>
          </cell>
        </row>
        <row r="10">
          <cell r="B10">
            <v>0</v>
          </cell>
        </row>
        <row r="11">
          <cell r="B11">
            <v>0</v>
          </cell>
        </row>
        <row r="15">
          <cell r="B15">
            <v>0</v>
          </cell>
        </row>
        <row r="16">
          <cell r="B16">
            <v>12071</v>
          </cell>
        </row>
        <row r="17">
          <cell r="B17">
            <v>0</v>
          </cell>
        </row>
        <row r="22">
          <cell r="B22">
            <v>12257</v>
          </cell>
        </row>
        <row r="23">
          <cell r="B23">
            <v>4282</v>
          </cell>
        </row>
        <row r="24">
          <cell r="B24">
            <v>0</v>
          </cell>
        </row>
        <row r="29">
          <cell r="B29">
            <v>-672230</v>
          </cell>
        </row>
        <row r="30">
          <cell r="B30">
            <v>-30692</v>
          </cell>
        </row>
        <row r="31">
          <cell r="B31">
            <v>0</v>
          </cell>
        </row>
        <row r="35">
          <cell r="B35">
            <v>50004</v>
          </cell>
        </row>
        <row r="36">
          <cell r="B36">
            <v>1462</v>
          </cell>
        </row>
        <row r="37">
          <cell r="B37">
            <v>0</v>
          </cell>
        </row>
        <row r="44">
          <cell r="B44">
            <v>-622846</v>
          </cell>
          <cell r="D44">
            <v>6119238</v>
          </cell>
        </row>
      </sheetData>
      <sheetData sheetId="7">
        <row r="10">
          <cell r="B10">
            <v>378005</v>
          </cell>
          <cell r="C10">
            <v>5085831</v>
          </cell>
          <cell r="D10">
            <v>246150</v>
          </cell>
          <cell r="E10">
            <v>0</v>
          </cell>
          <cell r="F10">
            <v>40000</v>
          </cell>
        </row>
        <row r="11">
          <cell r="B11">
            <v>11050</v>
          </cell>
          <cell r="C11">
            <v>232205</v>
          </cell>
          <cell r="D11">
            <v>85997</v>
          </cell>
          <cell r="E11">
            <v>40000</v>
          </cell>
          <cell r="F11">
            <v>0</v>
          </cell>
        </row>
        <row r="12">
          <cell r="B12">
            <v>0</v>
          </cell>
          <cell r="C12">
            <v>0</v>
          </cell>
          <cell r="D12">
            <v>0</v>
          </cell>
          <cell r="E12">
            <v>0</v>
          </cell>
          <cell r="F12">
            <v>0</v>
          </cell>
        </row>
        <row r="20">
          <cell r="G20">
            <v>394870</v>
          </cell>
        </row>
        <row r="27">
          <cell r="G27">
            <v>113265</v>
          </cell>
        </row>
        <row r="30">
          <cell r="B30">
            <v>42597</v>
          </cell>
          <cell r="C30">
            <v>349228</v>
          </cell>
          <cell r="D30">
            <v>55182</v>
          </cell>
          <cell r="E30">
            <v>0</v>
          </cell>
          <cell r="F30">
            <v>7408</v>
          </cell>
        </row>
        <row r="31">
          <cell r="B31">
            <v>1246</v>
          </cell>
          <cell r="C31">
            <v>15945</v>
          </cell>
          <cell r="D31">
            <v>19279</v>
          </cell>
          <cell r="E31">
            <v>17250</v>
          </cell>
          <cell r="F31">
            <v>0</v>
          </cell>
        </row>
        <row r="32">
          <cell r="B32">
            <v>0</v>
          </cell>
          <cell r="C32">
            <v>0</v>
          </cell>
          <cell r="D32">
            <v>0</v>
          </cell>
          <cell r="E32">
            <v>0</v>
          </cell>
          <cell r="F32">
            <v>0</v>
          </cell>
        </row>
      </sheetData>
      <sheetData sheetId="8">
        <row r="10">
          <cell r="E10">
            <v>0</v>
          </cell>
          <cell r="K10">
            <v>355</v>
          </cell>
        </row>
        <row r="11">
          <cell r="E11">
            <v>0</v>
          </cell>
          <cell r="K11">
            <v>1534</v>
          </cell>
        </row>
        <row r="12">
          <cell r="E12">
            <v>0</v>
          </cell>
          <cell r="K12">
            <v>0</v>
          </cell>
        </row>
        <row r="13">
          <cell r="C13">
            <v>1889</v>
          </cell>
          <cell r="I13">
            <v>0</v>
          </cell>
        </row>
        <row r="16">
          <cell r="E16">
            <v>3996</v>
          </cell>
          <cell r="K16">
            <v>5644</v>
          </cell>
        </row>
        <row r="17">
          <cell r="E17">
            <v>0</v>
          </cell>
          <cell r="K17">
            <v>467</v>
          </cell>
        </row>
        <row r="18">
          <cell r="E18">
            <v>0</v>
          </cell>
          <cell r="K18">
            <v>0</v>
          </cell>
        </row>
        <row r="19">
          <cell r="C19">
            <v>5910</v>
          </cell>
          <cell r="I19">
            <v>201</v>
          </cell>
        </row>
        <row r="22">
          <cell r="E22">
            <v>601892</v>
          </cell>
          <cell r="K22">
            <v>89211</v>
          </cell>
        </row>
        <row r="23">
          <cell r="E23">
            <v>36854</v>
          </cell>
          <cell r="K23">
            <v>19805</v>
          </cell>
        </row>
        <row r="24">
          <cell r="E24">
            <v>976</v>
          </cell>
          <cell r="K24">
            <v>617</v>
          </cell>
        </row>
        <row r="25">
          <cell r="C25">
            <v>77456</v>
          </cell>
          <cell r="I25">
            <v>32177</v>
          </cell>
        </row>
        <row r="28">
          <cell r="E28">
            <v>2575097</v>
          </cell>
          <cell r="K28">
            <v>256646</v>
          </cell>
        </row>
        <row r="29">
          <cell r="E29">
            <v>140552</v>
          </cell>
          <cell r="K29">
            <v>48827</v>
          </cell>
        </row>
        <row r="30">
          <cell r="E30">
            <v>0</v>
          </cell>
          <cell r="K30">
            <v>0</v>
          </cell>
        </row>
        <row r="31">
          <cell r="C31">
            <v>168880</v>
          </cell>
          <cell r="I31">
            <v>136593</v>
          </cell>
        </row>
        <row r="34">
          <cell r="E34">
            <v>0</v>
          </cell>
          <cell r="K34">
            <v>0</v>
          </cell>
        </row>
        <row r="35">
          <cell r="E35">
            <v>0</v>
          </cell>
          <cell r="K35">
            <v>253</v>
          </cell>
        </row>
        <row r="36">
          <cell r="E36">
            <v>0</v>
          </cell>
          <cell r="K36">
            <v>0</v>
          </cell>
        </row>
        <row r="37">
          <cell r="C37">
            <v>253</v>
          </cell>
          <cell r="I37">
            <v>0</v>
          </cell>
        </row>
        <row r="43">
          <cell r="C43">
            <v>254388</v>
          </cell>
          <cell r="E43">
            <v>3359367</v>
          </cell>
          <cell r="I43">
            <v>168971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7" bestFit="1" customWidth="1"/>
    <col min="2" max="3" width="17.7109375" style="126" hidden="1" customWidth="1"/>
    <col min="4" max="5" width="17.7109375" style="126" customWidth="1"/>
    <col min="6" max="7" width="16.8515625" style="126" hidden="1" customWidth="1"/>
    <col min="8" max="9" width="16.8515625" style="126" customWidth="1"/>
    <col min="10" max="16384" width="9.140625" style="17" customWidth="1"/>
  </cols>
  <sheetData>
    <row r="1" spans="1:9" s="116" customFormat="1" ht="22.5">
      <c r="A1" s="976" t="s">
        <v>77</v>
      </c>
      <c r="B1" s="976"/>
      <c r="C1" s="976"/>
      <c r="D1" s="976"/>
      <c r="E1" s="976"/>
      <c r="F1" s="976"/>
      <c r="G1" s="976"/>
      <c r="H1" s="976"/>
      <c r="I1" s="976"/>
    </row>
    <row r="2" spans="1:7" s="19" customFormat="1" ht="18.75">
      <c r="A2" s="977"/>
      <c r="B2" s="977"/>
      <c r="C2" s="977"/>
      <c r="D2" s="977"/>
      <c r="E2" s="977"/>
      <c r="F2" s="362"/>
      <c r="G2" s="362"/>
    </row>
    <row r="3" spans="1:9" s="20" customFormat="1" ht="15.75">
      <c r="A3" s="978" t="s">
        <v>95</v>
      </c>
      <c r="B3" s="978"/>
      <c r="C3" s="978"/>
      <c r="D3" s="978"/>
      <c r="E3" s="978"/>
      <c r="F3" s="978"/>
      <c r="G3" s="978"/>
      <c r="H3" s="978"/>
      <c r="I3" s="978"/>
    </row>
    <row r="4" spans="1:9" s="20" customFormat="1" ht="15.75">
      <c r="A4" s="979" t="s">
        <v>442</v>
      </c>
      <c r="B4" s="979"/>
      <c r="C4" s="979"/>
      <c r="D4" s="979"/>
      <c r="E4" s="979"/>
      <c r="F4" s="979"/>
      <c r="G4" s="979"/>
      <c r="H4" s="979"/>
      <c r="I4" s="979"/>
    </row>
    <row r="5" spans="1:9" s="20" customFormat="1" ht="15.75">
      <c r="A5" s="612"/>
      <c r="B5" s="613"/>
      <c r="C5" s="613"/>
      <c r="D5" s="613"/>
      <c r="E5" s="613"/>
      <c r="F5" s="332"/>
      <c r="G5" s="332"/>
      <c r="H5" s="332"/>
      <c r="I5" s="332"/>
    </row>
    <row r="6" spans="1:7" ht="15">
      <c r="A6" s="21"/>
      <c r="B6" s="336"/>
      <c r="C6" s="336"/>
      <c r="F6" s="336"/>
      <c r="G6" s="336"/>
    </row>
    <row r="7" spans="2:9" ht="15">
      <c r="B7" s="614" t="s">
        <v>49</v>
      </c>
      <c r="C7" s="614"/>
      <c r="D7" s="614" t="s">
        <v>311</v>
      </c>
      <c r="E7" s="614"/>
      <c r="F7" s="614" t="s">
        <v>49</v>
      </c>
      <c r="G7" s="614"/>
      <c r="H7" s="614" t="s">
        <v>311</v>
      </c>
      <c r="I7" s="614"/>
    </row>
    <row r="8" spans="1:9" ht="15">
      <c r="A8" s="615"/>
      <c r="B8" s="490" t="s">
        <v>50</v>
      </c>
      <c r="C8" s="490"/>
      <c r="D8" s="490" t="s">
        <v>426</v>
      </c>
      <c r="E8" s="490"/>
      <c r="F8" s="490" t="s">
        <v>51</v>
      </c>
      <c r="G8" s="490"/>
      <c r="H8" s="490" t="s">
        <v>427</v>
      </c>
      <c r="I8" s="490"/>
    </row>
    <row r="9" spans="2:9" ht="15">
      <c r="B9" s="616"/>
      <c r="C9" s="617"/>
      <c r="D9" s="616"/>
      <c r="E9" s="618"/>
      <c r="F9" s="616"/>
      <c r="G9" s="618"/>
      <c r="H9" s="616"/>
      <c r="I9" s="618"/>
    </row>
    <row r="10" spans="1:9" ht="15">
      <c r="A10" s="615" t="s">
        <v>97</v>
      </c>
      <c r="B10" s="616"/>
      <c r="C10" s="618"/>
      <c r="D10" s="616"/>
      <c r="E10" s="618"/>
      <c r="F10" s="616"/>
      <c r="G10" s="618"/>
      <c r="H10" s="616"/>
      <c r="I10" s="618"/>
    </row>
    <row r="11" spans="1:9" ht="15">
      <c r="A11" s="615"/>
      <c r="B11" s="616"/>
      <c r="C11" s="618"/>
      <c r="D11" s="616"/>
      <c r="E11" s="618"/>
      <c r="F11" s="616"/>
      <c r="G11" s="618"/>
      <c r="H11" s="616"/>
      <c r="I11" s="618"/>
    </row>
    <row r="12" spans="1:9" ht="15">
      <c r="A12" s="17" t="s">
        <v>98</v>
      </c>
      <c r="C12" s="543">
        <f>'[8]Earned Incurred QTD-p5'!D16</f>
        <v>4977049</v>
      </c>
      <c r="D12" s="475"/>
      <c r="E12" s="543">
        <f>'[8]Earned Incurred YTD-p6'!D16</f>
        <v>14052348</v>
      </c>
      <c r="G12" s="543">
        <f>+'[7]Income Statement (pg 2)'!$C$12</f>
        <v>4336172</v>
      </c>
      <c r="I12" s="543">
        <f>+'[7]Income Statement (pg 2)'!$E$12</f>
        <v>12605846</v>
      </c>
    </row>
    <row r="13" spans="1:9" ht="15">
      <c r="A13" s="615"/>
      <c r="C13" s="471"/>
      <c r="E13" s="471"/>
      <c r="G13" s="471"/>
      <c r="I13" s="471"/>
    </row>
    <row r="14" spans="1:9" ht="15">
      <c r="A14" s="615" t="s">
        <v>99</v>
      </c>
      <c r="C14" s="471"/>
      <c r="E14" s="471"/>
      <c r="G14" s="471"/>
      <c r="I14" s="471"/>
    </row>
    <row r="15" spans="1:9" ht="15">
      <c r="A15" s="17" t="s">
        <v>100</v>
      </c>
      <c r="B15" s="126">
        <f>'[8]Earned Incurred QTD-p5'!D23</f>
        <v>3008827.2250000006</v>
      </c>
      <c r="C15" s="471"/>
      <c r="D15" s="126">
        <f>'[8]Earned Incurred YTD-p6'!D23</f>
        <v>10083053.040000003</v>
      </c>
      <c r="E15" s="471"/>
      <c r="F15" s="126">
        <f>+'[7]Income Statement (pg 2)'!$B$15</f>
        <v>3666364.3599999994</v>
      </c>
      <c r="G15" s="471"/>
      <c r="H15" s="126">
        <f>+'[7]Income Statement (pg 2)'!$D$15</f>
        <v>10954919.14</v>
      </c>
      <c r="I15" s="471"/>
    </row>
    <row r="16" spans="1:9" ht="15">
      <c r="A16" s="17" t="s">
        <v>101</v>
      </c>
      <c r="B16" s="126">
        <f>'[8]Earned Incurred QTD-p5'!D30</f>
        <v>391930.13999999996</v>
      </c>
      <c r="C16" s="471"/>
      <c r="D16" s="126">
        <f>'[8]Earned Incurred YTD-p6'!D30</f>
        <v>1203762.75</v>
      </c>
      <c r="E16" s="471"/>
      <c r="F16" s="126">
        <f>+'[7]Income Statement (pg 2)'!$B$16</f>
        <v>411228.76</v>
      </c>
      <c r="G16" s="471"/>
      <c r="H16" s="126">
        <f>+'[7]Income Statement (pg 2)'!$D$16</f>
        <v>1134850.71</v>
      </c>
      <c r="I16" s="471"/>
    </row>
    <row r="17" spans="1:9" ht="15">
      <c r="A17" s="17" t="s">
        <v>102</v>
      </c>
      <c r="B17" s="126">
        <f>'[8]Earned Incurred QTD-p5'!D37</f>
        <v>502893.80000000005</v>
      </c>
      <c r="C17" s="471"/>
      <c r="D17" s="126">
        <f>+'[8]Earned Incurred YTD-p6'!D37</f>
        <v>1421253.0999999999</v>
      </c>
      <c r="E17" s="471"/>
      <c r="F17" s="126">
        <f>+'[7]Income Statement (pg 2)'!$B$17:$B$17</f>
        <v>404349.55000000005</v>
      </c>
      <c r="G17" s="471"/>
      <c r="H17" s="126">
        <f>+'[7]Income Statement (pg 2)'!$D$17</f>
        <v>1195688.7</v>
      </c>
      <c r="I17" s="471"/>
    </row>
    <row r="18" spans="1:9" ht="15">
      <c r="A18" s="17" t="s">
        <v>103</v>
      </c>
      <c r="B18" s="126">
        <f>'[8]Earned Incurred QTD-p5'!C39+'[8]Earned Incurred QTD-p5'!C38+'[8]Earned Incurred QTD-p5'!C43</f>
        <v>1078138.9600000002</v>
      </c>
      <c r="C18" s="471"/>
      <c r="D18" s="126">
        <f>'[8]Earned Incurred YTD-p6'!C38+'[8]Earned Incurred YTD-p6'!C39+'[8]Earned Incurred YTD-p6'!C43</f>
        <v>3156457.869999998</v>
      </c>
      <c r="E18" s="471"/>
      <c r="F18" s="126">
        <f>+'[7]Income Statement (pg 2)'!$B$18</f>
        <v>859175.9900000002</v>
      </c>
      <c r="G18" s="471"/>
      <c r="H18" s="126">
        <f>+'[7]Income Statement (pg 2)'!$D$18</f>
        <v>2663959.2600000016</v>
      </c>
      <c r="I18" s="471"/>
    </row>
    <row r="19" spans="1:9" ht="15">
      <c r="A19" s="17" t="s">
        <v>390</v>
      </c>
      <c r="B19" s="144">
        <f>'[8]Earned Incurred QTD-p5'!D36</f>
        <v>19861.65</v>
      </c>
      <c r="C19" s="471"/>
      <c r="D19" s="144">
        <f>'[8]Earned Incurred YTD-p6'!D36</f>
        <v>77491.65</v>
      </c>
      <c r="E19" s="471"/>
      <c r="F19" s="144">
        <f>+'[7]Income Statement (pg 2)'!$B$19</f>
        <v>11580</v>
      </c>
      <c r="G19" s="471"/>
      <c r="H19" s="144">
        <f>+'[7]Income Statement (pg 2)'!$D$19</f>
        <v>32840.51</v>
      </c>
      <c r="I19" s="471"/>
    </row>
    <row r="20" spans="1:9" ht="15">
      <c r="A20" s="17" t="s">
        <v>104</v>
      </c>
      <c r="C20" s="470">
        <f>SUM(B15:B19)</f>
        <v>5001651.775000001</v>
      </c>
      <c r="E20" s="470">
        <f>SUM(D15:D19)</f>
        <v>15942018.41</v>
      </c>
      <c r="G20" s="470">
        <f>SUM(F15:F19)</f>
        <v>5352698.659999999</v>
      </c>
      <c r="I20" s="470">
        <f>SUM(H15:H19)</f>
        <v>15982258.320000002</v>
      </c>
    </row>
    <row r="21" spans="3:9" ht="15">
      <c r="C21" s="471"/>
      <c r="E21" s="471"/>
      <c r="G21" s="471"/>
      <c r="I21" s="471"/>
    </row>
    <row r="22" spans="1:9" ht="15">
      <c r="A22" s="17" t="s">
        <v>208</v>
      </c>
      <c r="C22" s="470">
        <f>C12-C20</f>
        <v>-24602.775000001304</v>
      </c>
      <c r="E22" s="470">
        <f>E12-E20</f>
        <v>-1889670.4100000001</v>
      </c>
      <c r="G22" s="470">
        <f>G12-G20</f>
        <v>-1016526.6599999992</v>
      </c>
      <c r="I22" s="470">
        <f>I12-I20</f>
        <v>-3376412.320000002</v>
      </c>
    </row>
    <row r="23" spans="1:9" ht="15">
      <c r="A23" s="615"/>
      <c r="C23" s="471"/>
      <c r="E23" s="471"/>
      <c r="G23" s="471"/>
      <c r="I23" s="471"/>
    </row>
    <row r="24" spans="1:9" ht="15">
      <c r="A24" s="615" t="s">
        <v>105</v>
      </c>
      <c r="C24" s="471"/>
      <c r="E24" s="471"/>
      <c r="G24" s="471"/>
      <c r="I24" s="471"/>
    </row>
    <row r="25" spans="1:9" ht="15">
      <c r="A25" s="17" t="s">
        <v>106</v>
      </c>
      <c r="C25" s="471">
        <f>'[8]Earned Incurred QTD-p5'!D52</f>
        <v>26859.149999999994</v>
      </c>
      <c r="E25" s="471">
        <f>'[8]Earned Incurred YTD-p6'!D52</f>
        <v>88395.67</v>
      </c>
      <c r="G25" s="471">
        <f>+'[7]Income Statement (pg 2)'!$C$25</f>
        <v>52310.600000000006</v>
      </c>
      <c r="I25" s="471">
        <f>+'[7]Income Statement (pg 2)'!$E$25</f>
        <v>170480.6</v>
      </c>
    </row>
    <row r="26" spans="3:9" ht="15">
      <c r="C26" s="471"/>
      <c r="E26" s="471"/>
      <c r="G26" s="471"/>
      <c r="I26" s="471"/>
    </row>
    <row r="27" spans="1:9" ht="15.75" thickBot="1">
      <c r="A27" s="17" t="s">
        <v>209</v>
      </c>
      <c r="C27" s="472">
        <f>C22+C25</f>
        <v>2256.3749999986903</v>
      </c>
      <c r="E27" s="472">
        <f>E22+E25</f>
        <v>-1801274.7400000002</v>
      </c>
      <c r="G27" s="472">
        <f>G22+G25</f>
        <v>-964216.0599999992</v>
      </c>
      <c r="I27" s="472">
        <f>I22+I25</f>
        <v>-3205931.720000002</v>
      </c>
    </row>
    <row r="28" spans="1:9" ht="15">
      <c r="A28" s="615"/>
      <c r="C28" s="619"/>
      <c r="E28" s="471"/>
      <c r="G28" s="619"/>
      <c r="I28" s="471"/>
    </row>
    <row r="29" spans="1:9" ht="15">
      <c r="A29" s="615" t="s">
        <v>93</v>
      </c>
      <c r="C29" s="471"/>
      <c r="E29" s="471"/>
      <c r="G29" s="471"/>
      <c r="I29" s="471"/>
    </row>
    <row r="30" spans="1:9" ht="15">
      <c r="A30" s="17" t="s">
        <v>107</v>
      </c>
      <c r="C30" s="471">
        <f>'[9]Balance Sheet-p1'!$E$45</f>
        <v>-11338276.419999996</v>
      </c>
      <c r="E30" s="471">
        <f>'[9]Income Statement-p2'!$E$30</f>
        <v>-9552178.5</v>
      </c>
      <c r="G30" s="471">
        <f>+'[7]Income Statement (pg 2)'!$C$30</f>
        <v>-7427828.95</v>
      </c>
      <c r="I30" s="471">
        <v>-5217179.38</v>
      </c>
    </row>
    <row r="31" spans="1:9" ht="15">
      <c r="A31" s="17" t="s">
        <v>210</v>
      </c>
      <c r="B31" s="126">
        <f>C27</f>
        <v>2256.3749999986903</v>
      </c>
      <c r="C31" s="471"/>
      <c r="D31" s="126">
        <f>+'[8]Earned Incurred YTD-p6'!D54</f>
        <v>-1801274.7400000002</v>
      </c>
      <c r="E31" s="471"/>
      <c r="F31" s="126">
        <f>G27</f>
        <v>-964216.0599999992</v>
      </c>
      <c r="G31" s="471"/>
      <c r="H31" s="126">
        <f>I27</f>
        <v>-3205931.720000002</v>
      </c>
      <c r="I31" s="471"/>
    </row>
    <row r="32" spans="1:9" ht="14.25" customHeight="1">
      <c r="A32" s="17" t="s">
        <v>108</v>
      </c>
      <c r="B32" s="144">
        <v>15024.93</v>
      </c>
      <c r="D32" s="126">
        <v>32458.12</v>
      </c>
      <c r="E32" s="471"/>
      <c r="F32" s="473">
        <f>+'[7]Income Statement (pg 2)'!$B$32</f>
        <v>16655</v>
      </c>
      <c r="G32" s="471"/>
      <c r="H32" s="126">
        <f>+'[7]Income Statement (pg 2)'!$D$32</f>
        <v>-287408.34</v>
      </c>
      <c r="I32" s="471"/>
    </row>
    <row r="33" spans="1:9" ht="15">
      <c r="A33" s="17" t="s">
        <v>363</v>
      </c>
      <c r="B33" s="126">
        <v>0</v>
      </c>
      <c r="D33" s="126">
        <f>-40790-4979.98-26-1710</f>
        <v>-47505.979999999996</v>
      </c>
      <c r="E33" s="471"/>
      <c r="F33" s="126">
        <v>0</v>
      </c>
      <c r="H33" s="474">
        <f>+'[7]Income Statement (pg 2)'!$D$33</f>
        <v>-25.57</v>
      </c>
      <c r="I33" s="471"/>
    </row>
    <row r="34" spans="1:9" ht="15">
      <c r="A34" s="17" t="s">
        <v>364</v>
      </c>
      <c r="B34" s="144">
        <v>0</v>
      </c>
      <c r="C34" s="471"/>
      <c r="D34" s="144">
        <v>0</v>
      </c>
      <c r="E34" s="471"/>
      <c r="F34" s="144" t="e">
        <f>+'[10]TB09-30-02(Final)'!I931</f>
        <v>#REF!</v>
      </c>
      <c r="G34" s="471"/>
      <c r="H34" s="144">
        <f>+'[7]Income Statement (pg 2)'!$D$34</f>
        <v>335155</v>
      </c>
      <c r="I34" s="471"/>
    </row>
    <row r="35" spans="1:9" ht="15">
      <c r="A35" s="17" t="s">
        <v>109</v>
      </c>
      <c r="C35" s="471">
        <f>SUM(B31:B32)</f>
        <v>17281.30499999869</v>
      </c>
      <c r="E35" s="471">
        <f>SUM(D31:D32)</f>
        <v>-1768816.62</v>
      </c>
      <c r="G35" s="471">
        <f>SUM(F31:F32)</f>
        <v>-947561.0599999992</v>
      </c>
      <c r="I35" s="471">
        <f>SUM(H31:H34)</f>
        <v>-3158210.6300000018</v>
      </c>
    </row>
    <row r="36" spans="3:9" ht="15">
      <c r="C36" s="471"/>
      <c r="E36" s="471"/>
      <c r="G36" s="471"/>
      <c r="I36" s="471"/>
    </row>
    <row r="37" spans="1:9" ht="15.75" thickBot="1">
      <c r="A37" s="116" t="s">
        <v>52</v>
      </c>
      <c r="C37" s="539">
        <f>C30+C35</f>
        <v>-11320995.114999998</v>
      </c>
      <c r="D37" s="475"/>
      <c r="E37" s="539">
        <f>E30+E35</f>
        <v>-11320995.120000001</v>
      </c>
      <c r="G37" s="539">
        <f>G30+G35</f>
        <v>-8375390.01</v>
      </c>
      <c r="H37" s="475"/>
      <c r="I37" s="539">
        <f>I30+I35</f>
        <v>-8375390.010000002</v>
      </c>
    </row>
    <row r="38" spans="2:9" s="14" customFormat="1" ht="15.75" thickTop="1">
      <c r="B38" s="255"/>
      <c r="C38" s="255"/>
      <c r="D38" s="341"/>
      <c r="E38" s="255"/>
      <c r="F38" s="126"/>
      <c r="G38" s="126"/>
      <c r="H38" s="126"/>
      <c r="I38" s="126"/>
    </row>
    <row r="40" ht="15">
      <c r="C40" s="341"/>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0" customWidth="1"/>
    <col min="2" max="4" width="18.7109375" style="759" customWidth="1"/>
    <col min="5" max="5" width="15.7109375" style="335" customWidth="1"/>
    <col min="6" max="16384" width="15.7109375" style="20" customWidth="1"/>
  </cols>
  <sheetData>
    <row r="1" spans="1:5" s="260" customFormat="1" ht="30" customHeight="1">
      <c r="A1" s="1019" t="s">
        <v>77</v>
      </c>
      <c r="B1" s="1020"/>
      <c r="C1" s="1020"/>
      <c r="D1" s="1021"/>
      <c r="E1" s="745"/>
    </row>
    <row r="2" spans="1:5" s="44" customFormat="1" ht="15" customHeight="1">
      <c r="A2" s="1022"/>
      <c r="B2" s="1023"/>
      <c r="C2" s="1023"/>
      <c r="D2" s="1024"/>
      <c r="E2" s="746"/>
    </row>
    <row r="3" spans="1:5" s="44" customFormat="1" ht="15" customHeight="1">
      <c r="A3" s="1016" t="s">
        <v>40</v>
      </c>
      <c r="B3" s="1017"/>
      <c r="C3" s="1017"/>
      <c r="D3" s="1018"/>
      <c r="E3" s="746"/>
    </row>
    <row r="4" spans="1:5" s="44" customFormat="1" ht="15" customHeight="1">
      <c r="A4" s="1016" t="s">
        <v>139</v>
      </c>
      <c r="B4" s="1017"/>
      <c r="C4" s="1017"/>
      <c r="D4" s="1018"/>
      <c r="E4" s="746"/>
    </row>
    <row r="5" spans="1:5" s="44" customFormat="1" ht="15" customHeight="1">
      <c r="A5" s="1016" t="s">
        <v>469</v>
      </c>
      <c r="B5" s="1017"/>
      <c r="C5" s="1017"/>
      <c r="D5" s="1018"/>
      <c r="E5" s="746"/>
    </row>
    <row r="6" spans="1:5" s="44" customFormat="1" ht="15" customHeight="1">
      <c r="A6" s="396"/>
      <c r="B6" s="753"/>
      <c r="C6" s="753"/>
      <c r="D6" s="754"/>
      <c r="E6" s="746"/>
    </row>
    <row r="7" spans="1:5" s="17" customFormat="1" ht="15" customHeight="1">
      <c r="A7" s="397"/>
      <c r="B7" s="753"/>
      <c r="C7" s="753"/>
      <c r="D7" s="754"/>
      <c r="E7" s="126"/>
    </row>
    <row r="8" spans="1:4" ht="15" customHeight="1">
      <c r="A8" s="868" t="s">
        <v>140</v>
      </c>
      <c r="B8" s="869" t="s">
        <v>470</v>
      </c>
      <c r="C8" s="870"/>
      <c r="D8" s="871"/>
    </row>
    <row r="9" spans="1:4" ht="15" customHeight="1">
      <c r="A9" s="868"/>
      <c r="B9" s="872" t="s">
        <v>30</v>
      </c>
      <c r="C9" s="873"/>
      <c r="D9" s="874"/>
    </row>
    <row r="10" spans="1:4" ht="15" customHeight="1">
      <c r="A10" s="875"/>
      <c r="B10" s="876" t="s">
        <v>87</v>
      </c>
      <c r="C10" s="877"/>
      <c r="D10" s="878"/>
    </row>
    <row r="11" spans="1:4" ht="15" customHeight="1">
      <c r="A11" s="879" t="s">
        <v>141</v>
      </c>
      <c r="B11" s="880"/>
      <c r="C11" s="881">
        <f>'Premiums QTD-5'!$G$11</f>
        <v>4491519</v>
      </c>
      <c r="D11" s="878"/>
    </row>
    <row r="12" spans="1:4" ht="15" customHeight="1">
      <c r="A12" s="879"/>
      <c r="B12" s="880"/>
      <c r="C12" s="340"/>
      <c r="D12" s="878"/>
    </row>
    <row r="13" spans="1:4" ht="15" customHeight="1">
      <c r="A13" s="882" t="s">
        <v>142</v>
      </c>
      <c r="B13" s="880">
        <f>'Premiums QTD-5'!$G$17</f>
        <v>9917868</v>
      </c>
      <c r="C13" s="805"/>
      <c r="D13" s="878"/>
    </row>
    <row r="14" spans="1:4" ht="15" customHeight="1">
      <c r="A14" s="882" t="s">
        <v>161</v>
      </c>
      <c r="B14" s="883">
        <f>'Premiums QTD-5'!$G$23</f>
        <v>10674374</v>
      </c>
      <c r="C14" s="805"/>
      <c r="D14" s="878"/>
    </row>
    <row r="15" spans="1:4" ht="15" customHeight="1">
      <c r="A15" s="882" t="s">
        <v>162</v>
      </c>
      <c r="B15" s="880"/>
      <c r="C15" s="884">
        <f>B14-B13</f>
        <v>756506</v>
      </c>
      <c r="D15" s="878"/>
    </row>
    <row r="16" spans="1:4" ht="15" customHeight="1">
      <c r="A16" s="879" t="s">
        <v>163</v>
      </c>
      <c r="B16" s="880"/>
      <c r="C16" s="805"/>
      <c r="D16" s="885">
        <f>C11+C15</f>
        <v>5248025</v>
      </c>
    </row>
    <row r="17" spans="1:5" ht="15" customHeight="1">
      <c r="A17" s="882" t="s">
        <v>164</v>
      </c>
      <c r="B17" s="880"/>
      <c r="C17" s="805">
        <f>'[11]Loss Expenses QTD-10'!$E$43</f>
        <v>3359367</v>
      </c>
      <c r="D17" s="878"/>
      <c r="E17" s="20"/>
    </row>
    <row r="18" spans="1:5" ht="15" customHeight="1">
      <c r="A18" s="882" t="s">
        <v>369</v>
      </c>
      <c r="B18" s="880"/>
      <c r="C18" s="886">
        <f>-'[11]1Q07 TB (ROUNDED)'!$D$291</f>
        <v>96189</v>
      </c>
      <c r="D18" s="878"/>
      <c r="E18" s="20"/>
    </row>
    <row r="19" spans="1:4" ht="15" customHeight="1">
      <c r="A19" s="879" t="s">
        <v>166</v>
      </c>
      <c r="B19" s="880"/>
      <c r="C19" s="805">
        <f>C17-C18</f>
        <v>3263178</v>
      </c>
      <c r="D19" s="878"/>
    </row>
    <row r="20" spans="1:4" ht="15" customHeight="1">
      <c r="A20" s="882" t="s">
        <v>167</v>
      </c>
      <c r="B20" s="880">
        <f>'Losses Incurred QTD-6'!G19+'Losses Incurred QTD-6'!G25</f>
        <v>5496392</v>
      </c>
      <c r="C20" s="805" t="s">
        <v>87</v>
      </c>
      <c r="D20" s="878"/>
    </row>
    <row r="21" spans="1:4" ht="15" customHeight="1">
      <c r="A21" s="882" t="s">
        <v>168</v>
      </c>
      <c r="B21" s="883">
        <f>'Losses Incurred QTD-6'!G32</f>
        <v>5708427</v>
      </c>
      <c r="C21" s="805"/>
      <c r="D21" s="878"/>
    </row>
    <row r="22" spans="1:4" ht="15" customHeight="1">
      <c r="A22" s="882" t="s">
        <v>169</v>
      </c>
      <c r="B22" s="887"/>
      <c r="C22" s="886">
        <f>B20-B21</f>
        <v>-212035</v>
      </c>
      <c r="D22" s="878"/>
    </row>
    <row r="23" spans="1:6" ht="15" customHeight="1">
      <c r="A23" s="879" t="s">
        <v>170</v>
      </c>
      <c r="B23" s="880"/>
      <c r="C23" s="805"/>
      <c r="D23" s="878">
        <f>C19+C22</f>
        <v>3051143</v>
      </c>
      <c r="E23" s="805"/>
      <c r="F23" s="888"/>
    </row>
    <row r="24" spans="1:5" ht="15" customHeight="1">
      <c r="A24" s="882" t="s">
        <v>171</v>
      </c>
      <c r="B24" s="880"/>
      <c r="C24" s="805">
        <f>'[11]Loss Expenses QTD-10'!$C$43</f>
        <v>254388</v>
      </c>
      <c r="D24" s="878"/>
      <c r="E24" s="671"/>
    </row>
    <row r="25" spans="1:5" ht="15" customHeight="1">
      <c r="A25" s="882" t="s">
        <v>172</v>
      </c>
      <c r="B25" s="880"/>
      <c r="C25" s="884">
        <f>'[11]Loss Expenses QTD-10'!$I$43</f>
        <v>168971</v>
      </c>
      <c r="D25" s="878"/>
      <c r="E25" s="671"/>
    </row>
    <row r="26" spans="1:5" ht="15" customHeight="1">
      <c r="A26" s="879" t="s">
        <v>173</v>
      </c>
      <c r="B26" s="880"/>
      <c r="C26" s="805">
        <f>C24+C25</f>
        <v>423359</v>
      </c>
      <c r="D26" s="878"/>
      <c r="E26" s="805"/>
    </row>
    <row r="27" spans="1:5" ht="15" customHeight="1">
      <c r="A27" s="882" t="s">
        <v>174</v>
      </c>
      <c r="B27" s="880">
        <f>'Loss Expenses QTD-7'!$G$18</f>
        <v>508135</v>
      </c>
      <c r="C27" s="805"/>
      <c r="D27" s="878"/>
      <c r="E27" s="671"/>
    </row>
    <row r="28" spans="1:5" ht="15" customHeight="1">
      <c r="A28" s="882" t="s">
        <v>175</v>
      </c>
      <c r="B28" s="883">
        <f>'Loss Expenses QTD-7'!$G$24</f>
        <v>585078</v>
      </c>
      <c r="C28" s="805"/>
      <c r="D28" s="878"/>
      <c r="E28" s="805"/>
    </row>
    <row r="29" spans="1:7" ht="15" customHeight="1">
      <c r="A29" s="882" t="s">
        <v>176</v>
      </c>
      <c r="B29" s="880"/>
      <c r="C29" s="886">
        <f>B27-B28</f>
        <v>-76943</v>
      </c>
      <c r="D29" s="878"/>
      <c r="E29" s="671"/>
      <c r="G29" s="888"/>
    </row>
    <row r="30" spans="1:6" ht="15" customHeight="1">
      <c r="A30" s="879" t="s">
        <v>177</v>
      </c>
      <c r="B30" s="880"/>
      <c r="C30" s="805"/>
      <c r="D30" s="889">
        <f>C26+C29</f>
        <v>346416</v>
      </c>
      <c r="E30" s="805"/>
      <c r="F30" s="888"/>
    </row>
    <row r="31" spans="1:6" ht="15" customHeight="1">
      <c r="A31" s="879" t="s">
        <v>178</v>
      </c>
      <c r="B31" s="880"/>
      <c r="C31" s="805"/>
      <c r="D31" s="890">
        <f>D23+D30</f>
        <v>3397559</v>
      </c>
      <c r="E31" s="805"/>
      <c r="F31" s="888"/>
    </row>
    <row r="32" spans="1:6" ht="15" customHeight="1">
      <c r="A32" s="882" t="s">
        <v>179</v>
      </c>
      <c r="B32" s="880"/>
      <c r="C32" s="805">
        <f>28343-4312</f>
        <v>24031</v>
      </c>
      <c r="D32" s="878"/>
      <c r="E32" s="671"/>
      <c r="F32" s="888"/>
    </row>
    <row r="33" spans="1:7" ht="15" customHeight="1">
      <c r="A33" s="882" t="s">
        <v>180</v>
      </c>
      <c r="B33" s="880">
        <f>-'[11]1Q07 TB (ROUNDED)'!$D$150</f>
        <v>42846</v>
      </c>
      <c r="C33" s="805"/>
      <c r="D33" s="878"/>
      <c r="G33" s="888"/>
    </row>
    <row r="34" spans="1:7" ht="15" customHeight="1">
      <c r="A34" s="882" t="s">
        <v>181</v>
      </c>
      <c r="B34" s="883">
        <v>53963</v>
      </c>
      <c r="C34" s="805" t="s">
        <v>87</v>
      </c>
      <c r="D34" s="878"/>
      <c r="G34" s="888"/>
    </row>
    <row r="35" spans="1:4" ht="15" customHeight="1">
      <c r="A35" s="882" t="s">
        <v>352</v>
      </c>
      <c r="B35" s="880"/>
      <c r="C35" s="886">
        <f>B33-B34</f>
        <v>-11117</v>
      </c>
      <c r="D35" s="878"/>
    </row>
    <row r="36" spans="1:6" ht="15" customHeight="1">
      <c r="A36" s="879" t="s">
        <v>353</v>
      </c>
      <c r="B36" s="880"/>
      <c r="C36" s="805" t="s">
        <v>87</v>
      </c>
      <c r="D36" s="878">
        <f>C32+C35</f>
        <v>12914</v>
      </c>
      <c r="F36" s="888"/>
    </row>
    <row r="37" spans="1:4" ht="15" customHeight="1">
      <c r="A37" s="882" t="s">
        <v>284</v>
      </c>
      <c r="B37" s="880"/>
      <c r="C37" s="805">
        <f>'[11]1Q07 TB (ROUNDED)'!$D$419</f>
        <v>393870</v>
      </c>
      <c r="D37" s="878"/>
    </row>
    <row r="38" spans="1:5" ht="15" customHeight="1">
      <c r="A38" s="882" t="s">
        <v>263</v>
      </c>
      <c r="B38" s="880"/>
      <c r="C38" s="805">
        <f>'[11]1Q07 TB (ROUNDED)'!$D$429</f>
        <v>69856</v>
      </c>
      <c r="D38" s="878"/>
      <c r="E38" s="891"/>
    </row>
    <row r="39" spans="1:6" ht="15" customHeight="1">
      <c r="A39" s="882" t="s">
        <v>437</v>
      </c>
      <c r="B39" s="880"/>
      <c r="C39" s="884">
        <f>'[11]1Q07 TB (ROUNDED)'!$D$723-C43-2</f>
        <v>1108847</v>
      </c>
      <c r="D39" s="878"/>
      <c r="E39" s="891"/>
      <c r="F39" s="335"/>
    </row>
    <row r="40" spans="1:6" ht="15" customHeight="1">
      <c r="A40" s="879" t="s">
        <v>438</v>
      </c>
      <c r="B40" s="880"/>
      <c r="C40" s="805">
        <f>SUM(C37:C39)</f>
        <v>1572573</v>
      </c>
      <c r="D40" s="878"/>
      <c r="E40" s="891"/>
      <c r="F40" s="335"/>
    </row>
    <row r="41" spans="1:5" ht="15" customHeight="1">
      <c r="A41" s="882" t="s">
        <v>180</v>
      </c>
      <c r="B41" s="880">
        <f>-'[11]1Q07 TB (ROUNDED)'!$D$167</f>
        <v>248155</v>
      </c>
      <c r="C41" s="805"/>
      <c r="D41" s="878"/>
      <c r="E41" s="891"/>
    </row>
    <row r="42" spans="1:4" ht="15" customHeight="1">
      <c r="A42" s="882" t="s">
        <v>181</v>
      </c>
      <c r="B42" s="883">
        <v>200542</v>
      </c>
      <c r="C42" s="805" t="s">
        <v>87</v>
      </c>
      <c r="D42" s="878"/>
    </row>
    <row r="43" spans="1:4" ht="15" customHeight="1">
      <c r="A43" s="882" t="s">
        <v>439</v>
      </c>
      <c r="B43" s="880"/>
      <c r="C43" s="884">
        <f>+B41-B42</f>
        <v>47613</v>
      </c>
      <c r="D43" s="878"/>
    </row>
    <row r="44" spans="1:6" ht="15" customHeight="1">
      <c r="A44" s="879" t="s">
        <v>41</v>
      </c>
      <c r="B44" s="880"/>
      <c r="C44" s="805"/>
      <c r="D44" s="889">
        <f>SUM(C40:C43)</f>
        <v>1620186</v>
      </c>
      <c r="F44" s="335"/>
    </row>
    <row r="45" spans="1:6" ht="15" customHeight="1">
      <c r="A45" s="879" t="s">
        <v>440</v>
      </c>
      <c r="B45" s="880"/>
      <c r="C45" s="805"/>
      <c r="D45" s="892">
        <f>SUM(D36:D44)</f>
        <v>1633100</v>
      </c>
      <c r="F45" s="893"/>
    </row>
    <row r="46" spans="1:6" ht="15" customHeight="1">
      <c r="A46" s="879" t="s">
        <v>441</v>
      </c>
      <c r="B46" s="880"/>
      <c r="C46" s="805"/>
      <c r="D46" s="885">
        <f>+D31+D45</f>
        <v>5030659</v>
      </c>
      <c r="F46" s="893"/>
    </row>
    <row r="47" spans="1:6" ht="15" customHeight="1">
      <c r="A47" s="879" t="s">
        <v>286</v>
      </c>
      <c r="B47" s="880"/>
      <c r="C47" s="805"/>
      <c r="D47" s="890">
        <f>D16-D31-D45</f>
        <v>217366</v>
      </c>
      <c r="E47" s="894"/>
      <c r="F47" s="335"/>
    </row>
    <row r="48" spans="1:6" ht="15" customHeight="1">
      <c r="A48" s="882" t="s">
        <v>23</v>
      </c>
      <c r="B48" s="880"/>
      <c r="C48" s="805">
        <f>-'[11]1Q07 TB (ROUNDED)'!$D$270-C51</f>
        <v>292911</v>
      </c>
      <c r="D48" s="878"/>
      <c r="E48" s="888"/>
      <c r="F48" s="888"/>
    </row>
    <row r="49" spans="1:4" ht="15" customHeight="1">
      <c r="A49" s="882" t="s">
        <v>197</v>
      </c>
      <c r="B49" s="880">
        <f>'[11]1Q07 TB (ROUNDED)'!$D$24</f>
        <v>120014</v>
      </c>
      <c r="C49" s="805"/>
      <c r="D49" s="878"/>
    </row>
    <row r="50" spans="1:4" ht="15" customHeight="1">
      <c r="A50" s="882" t="s">
        <v>198</v>
      </c>
      <c r="B50" s="883">
        <v>152540</v>
      </c>
      <c r="C50" s="805" t="s">
        <v>87</v>
      </c>
      <c r="D50" s="878"/>
    </row>
    <row r="51" spans="1:4" ht="15" customHeight="1">
      <c r="A51" s="882" t="s">
        <v>199</v>
      </c>
      <c r="B51" s="880"/>
      <c r="C51" s="886">
        <f>B49-B50</f>
        <v>-32526</v>
      </c>
      <c r="D51" s="878"/>
    </row>
    <row r="52" spans="1:4" ht="15" customHeight="1">
      <c r="A52" s="879" t="s">
        <v>24</v>
      </c>
      <c r="B52" s="880"/>
      <c r="C52" s="805"/>
      <c r="D52" s="889">
        <f>C48+C51</f>
        <v>260385</v>
      </c>
    </row>
    <row r="53" spans="1:6" ht="15" customHeight="1">
      <c r="A53" s="895"/>
      <c r="B53" s="880"/>
      <c r="C53" s="805"/>
      <c r="D53" s="878"/>
      <c r="F53" s="888"/>
    </row>
    <row r="54" spans="1:6" ht="15" customHeight="1">
      <c r="A54" s="896" t="s">
        <v>287</v>
      </c>
      <c r="B54" s="883"/>
      <c r="C54" s="884"/>
      <c r="D54" s="885">
        <f>D47+D52</f>
        <v>477751</v>
      </c>
      <c r="E54" s="897"/>
      <c r="F54" s="847"/>
    </row>
    <row r="55" spans="1:4" s="17" customFormat="1" ht="15" customHeight="1">
      <c r="A55" s="400"/>
      <c r="B55" s="756"/>
      <c r="C55" s="756"/>
      <c r="D55" s="772"/>
    </row>
    <row r="56" spans="1:5" s="17" customFormat="1" ht="15" customHeight="1">
      <c r="A56" s="400"/>
      <c r="B56" s="756"/>
      <c r="C56" s="756"/>
      <c r="D56" s="772"/>
      <c r="E56" s="121"/>
    </row>
    <row r="57" spans="1:5" s="17" customFormat="1" ht="15" customHeight="1">
      <c r="A57" s="46"/>
      <c r="B57" s="755"/>
      <c r="C57" s="755"/>
      <c r="D57" s="772"/>
      <c r="E57" s="126"/>
    </row>
    <row r="58" spans="1:5" s="17" customFormat="1" ht="15" customHeight="1">
      <c r="A58" s="46"/>
      <c r="B58" s="755"/>
      <c r="C58" s="755"/>
      <c r="D58" s="351"/>
      <c r="E58" s="126"/>
    </row>
    <row r="59" spans="1:5" s="17" customFormat="1" ht="15" customHeight="1">
      <c r="A59" s="46"/>
      <c r="B59" s="755"/>
      <c r="C59" s="755"/>
      <c r="D59" s="755"/>
      <c r="E59" s="126"/>
    </row>
    <row r="60" spans="1:5" s="17" customFormat="1" ht="15" customHeight="1">
      <c r="A60" s="46"/>
      <c r="B60" s="755"/>
      <c r="C60" s="755"/>
      <c r="D60" s="755"/>
      <c r="E60" s="126"/>
    </row>
    <row r="61" spans="1:5" s="17" customFormat="1" ht="15" customHeight="1">
      <c r="A61" s="46"/>
      <c r="B61" s="755"/>
      <c r="C61" s="755"/>
      <c r="D61" s="755"/>
      <c r="E61" s="126"/>
    </row>
    <row r="62" spans="1:5" s="17" customFormat="1" ht="15" customHeight="1">
      <c r="A62" s="46"/>
      <c r="B62" s="755"/>
      <c r="C62" s="755"/>
      <c r="D62" s="755"/>
      <c r="E62" s="126"/>
    </row>
    <row r="63" spans="1:5" s="17" customFormat="1" ht="15" customHeight="1">
      <c r="A63" s="46"/>
      <c r="B63" s="755"/>
      <c r="C63" s="755"/>
      <c r="D63" s="755"/>
      <c r="E63" s="126"/>
    </row>
    <row r="64" spans="1:5" s="17" customFormat="1" ht="15" customHeight="1">
      <c r="A64" s="46"/>
      <c r="B64" s="757"/>
      <c r="C64" s="755"/>
      <c r="D64" s="755"/>
      <c r="E64" s="126"/>
    </row>
    <row r="65" spans="1:5" s="17" customFormat="1" ht="15" customHeight="1">
      <c r="A65" s="46"/>
      <c r="B65" s="757"/>
      <c r="C65" s="755"/>
      <c r="D65" s="755"/>
      <c r="E65" s="126"/>
    </row>
    <row r="66" spans="1:5" s="17" customFormat="1" ht="15" customHeight="1">
      <c r="A66" s="46"/>
      <c r="B66" s="757"/>
      <c r="C66" s="755"/>
      <c r="D66" s="755"/>
      <c r="E66" s="126"/>
    </row>
    <row r="67" spans="1:5" s="17" customFormat="1" ht="15" customHeight="1">
      <c r="A67" s="46"/>
      <c r="B67" s="757"/>
      <c r="C67" s="768"/>
      <c r="D67" s="755"/>
      <c r="E67" s="126"/>
    </row>
    <row r="68" spans="1:5" s="17" customFormat="1" ht="15" customHeight="1">
      <c r="A68" s="46"/>
      <c r="B68" s="757"/>
      <c r="C68" s="755"/>
      <c r="D68" s="755"/>
      <c r="E68" s="126"/>
    </row>
    <row r="69" spans="2:5" s="17" customFormat="1" ht="15" customHeight="1">
      <c r="B69" s="757"/>
      <c r="C69" s="755"/>
      <c r="D69" s="755"/>
      <c r="E69" s="126"/>
    </row>
    <row r="70" spans="1:5" s="17" customFormat="1" ht="15" customHeight="1">
      <c r="A70" s="46"/>
      <c r="B70" s="757"/>
      <c r="C70" s="755"/>
      <c r="D70" s="755"/>
      <c r="E70" s="126"/>
    </row>
    <row r="71" spans="1:5" s="17" customFormat="1" ht="15" customHeight="1">
      <c r="A71" s="46"/>
      <c r="B71" s="757"/>
      <c r="C71" s="755"/>
      <c r="D71" s="755"/>
      <c r="E71" s="126"/>
    </row>
    <row r="72" spans="1:5" s="17" customFormat="1" ht="15" customHeight="1">
      <c r="A72" s="46"/>
      <c r="B72" s="758"/>
      <c r="C72" s="755"/>
      <c r="D72" s="755"/>
      <c r="E72" s="126"/>
    </row>
    <row r="73" spans="1:5" s="17" customFormat="1" ht="15" customHeight="1">
      <c r="A73" s="46"/>
      <c r="B73" s="755"/>
      <c r="C73" s="768"/>
      <c r="D73" s="755"/>
      <c r="E73" s="126"/>
    </row>
    <row r="74" spans="1:5" s="17" customFormat="1" ht="15" customHeight="1">
      <c r="A74" s="46"/>
      <c r="B74" s="755"/>
      <c r="C74" s="755"/>
      <c r="D74" s="755"/>
      <c r="E74" s="126"/>
    </row>
    <row r="75" spans="1:5" s="17" customFormat="1" ht="15" customHeight="1">
      <c r="A75" s="46"/>
      <c r="B75" s="755"/>
      <c r="C75" s="755"/>
      <c r="D75" s="755"/>
      <c r="E75" s="126"/>
    </row>
    <row r="76" spans="1:5" s="17" customFormat="1" ht="15" customHeight="1">
      <c r="A76" s="46"/>
      <c r="B76" s="755"/>
      <c r="C76" s="755"/>
      <c r="D76" s="755"/>
      <c r="E76" s="126"/>
    </row>
    <row r="77" spans="1:5" s="17" customFormat="1" ht="15" customHeight="1">
      <c r="A77" s="46"/>
      <c r="B77" s="755"/>
      <c r="C77" s="755"/>
      <c r="D77" s="755"/>
      <c r="E77" s="126"/>
    </row>
    <row r="78" spans="1:5" s="17" customFormat="1" ht="15" customHeight="1">
      <c r="A78" s="46"/>
      <c r="B78" s="755"/>
      <c r="C78" s="755"/>
      <c r="D78" s="755"/>
      <c r="E78" s="126"/>
    </row>
    <row r="79" spans="1:5" s="17" customFormat="1" ht="15" customHeight="1">
      <c r="A79" s="46"/>
      <c r="B79" s="755"/>
      <c r="C79" s="755"/>
      <c r="D79" s="755"/>
      <c r="E79" s="126"/>
    </row>
    <row r="80" spans="1:5" s="17" customFormat="1" ht="15" customHeight="1">
      <c r="A80" s="46"/>
      <c r="B80" s="755"/>
      <c r="C80" s="755"/>
      <c r="D80" s="755"/>
      <c r="E80" s="126"/>
    </row>
    <row r="81" spans="1:5" s="17" customFormat="1" ht="15" customHeight="1">
      <c r="A81" s="46"/>
      <c r="B81" s="755"/>
      <c r="C81" s="755"/>
      <c r="D81" s="755"/>
      <c r="E81" s="126"/>
    </row>
    <row r="82" spans="1:5" s="17" customFormat="1" ht="15" customHeight="1">
      <c r="A82" s="46"/>
      <c r="B82" s="755"/>
      <c r="C82" s="755"/>
      <c r="D82" s="755"/>
      <c r="E82" s="126"/>
    </row>
    <row r="83" spans="1:5" s="17" customFormat="1" ht="15" customHeight="1">
      <c r="A83" s="46"/>
      <c r="B83" s="755"/>
      <c r="C83" s="755"/>
      <c r="D83" s="755"/>
      <c r="E83" s="126"/>
    </row>
    <row r="84" spans="1:5" s="17" customFormat="1" ht="15" customHeight="1">
      <c r="A84" s="46"/>
      <c r="B84" s="755"/>
      <c r="C84" s="755"/>
      <c r="D84" s="755"/>
      <c r="E84" s="126"/>
    </row>
    <row r="85" spans="1:5" s="17" customFormat="1" ht="15" customHeight="1">
      <c r="A85" s="46"/>
      <c r="B85" s="755"/>
      <c r="C85" s="755"/>
      <c r="D85" s="755"/>
      <c r="E85" s="126"/>
    </row>
    <row r="86" spans="1:5" s="17" customFormat="1" ht="15" customHeight="1">
      <c r="A86" s="46"/>
      <c r="B86" s="755"/>
      <c r="C86" s="755"/>
      <c r="D86" s="755"/>
      <c r="E86" s="126"/>
    </row>
    <row r="87" spans="1:5" s="17" customFormat="1" ht="15" customHeight="1">
      <c r="A87" s="46"/>
      <c r="B87" s="755"/>
      <c r="C87" s="755"/>
      <c r="D87" s="755"/>
      <c r="E87" s="126"/>
    </row>
    <row r="88" spans="1:5" s="17" customFormat="1" ht="15" customHeight="1">
      <c r="A88" s="46"/>
      <c r="B88" s="755"/>
      <c r="C88" s="755"/>
      <c r="D88" s="755"/>
      <c r="E88" s="126"/>
    </row>
    <row r="89" spans="1:5" s="17" customFormat="1" ht="15" customHeight="1">
      <c r="A89" s="46"/>
      <c r="B89" s="755"/>
      <c r="C89" s="758"/>
      <c r="D89" s="758"/>
      <c r="E89" s="126"/>
    </row>
    <row r="90" spans="1:5" s="17" customFormat="1" ht="15" customHeight="1">
      <c r="A90" s="46"/>
      <c r="B90" s="755"/>
      <c r="C90" s="758"/>
      <c r="D90" s="758"/>
      <c r="E90" s="126"/>
    </row>
    <row r="91" spans="1:5" s="17" customFormat="1" ht="15" customHeight="1">
      <c r="A91" s="46"/>
      <c r="B91" s="755"/>
      <c r="C91" s="758"/>
      <c r="D91" s="758"/>
      <c r="E91" s="126"/>
    </row>
    <row r="92" spans="1:5" s="17" customFormat="1" ht="15" customHeight="1">
      <c r="A92" s="46"/>
      <c r="B92" s="758"/>
      <c r="C92" s="758"/>
      <c r="D92" s="758"/>
      <c r="E92" s="126"/>
    </row>
    <row r="93" spans="1:5" s="17" customFormat="1" ht="15" customHeight="1">
      <c r="A93" s="46"/>
      <c r="B93" s="758"/>
      <c r="C93" s="758"/>
      <c r="D93" s="758"/>
      <c r="E93" s="126"/>
    </row>
    <row r="94" spans="1:5" s="17" customFormat="1" ht="15" customHeight="1">
      <c r="A94" s="46"/>
      <c r="B94" s="758"/>
      <c r="C94" s="758"/>
      <c r="D94" s="758"/>
      <c r="E94" s="126"/>
    </row>
    <row r="95" spans="1:5" s="17" customFormat="1" ht="15" customHeight="1">
      <c r="A95" s="46"/>
      <c r="B95" s="758"/>
      <c r="C95" s="758"/>
      <c r="D95" s="758"/>
      <c r="E95" s="126"/>
    </row>
    <row r="96" spans="1:5" s="17" customFormat="1" ht="15" customHeight="1">
      <c r="A96" s="46"/>
      <c r="B96" s="758"/>
      <c r="C96" s="758"/>
      <c r="D96" s="758"/>
      <c r="E96" s="126"/>
    </row>
    <row r="97" spans="1:5" s="17" customFormat="1" ht="15" customHeight="1">
      <c r="A97" s="46"/>
      <c r="B97" s="758"/>
      <c r="C97" s="758"/>
      <c r="D97" s="758"/>
      <c r="E97" s="126"/>
    </row>
    <row r="98" spans="1:5" s="17" customFormat="1" ht="15" customHeight="1">
      <c r="A98" s="46"/>
      <c r="B98" s="758"/>
      <c r="C98" s="758"/>
      <c r="D98" s="758"/>
      <c r="E98" s="126"/>
    </row>
    <row r="99" spans="1:5" s="17" customFormat="1" ht="15" customHeight="1">
      <c r="A99" s="46"/>
      <c r="B99" s="758"/>
      <c r="C99" s="758"/>
      <c r="D99" s="758"/>
      <c r="E99" s="126"/>
    </row>
    <row r="100" spans="1:5" s="17" customFormat="1" ht="15" customHeight="1">
      <c r="A100" s="46"/>
      <c r="B100" s="758"/>
      <c r="C100" s="758"/>
      <c r="D100" s="758"/>
      <c r="E100" s="126"/>
    </row>
    <row r="101" spans="1:5" s="17" customFormat="1" ht="15" customHeight="1">
      <c r="A101" s="46"/>
      <c r="B101" s="758"/>
      <c r="C101" s="758"/>
      <c r="D101" s="758"/>
      <c r="E101" s="126"/>
    </row>
    <row r="102" spans="1:5" s="17" customFormat="1" ht="15" customHeight="1">
      <c r="A102" s="46"/>
      <c r="B102" s="758"/>
      <c r="C102" s="758"/>
      <c r="D102" s="758"/>
      <c r="E102" s="126"/>
    </row>
    <row r="103" spans="1:5" s="17" customFormat="1" ht="15" customHeight="1">
      <c r="A103" s="46"/>
      <c r="B103" s="758"/>
      <c r="C103" s="758"/>
      <c r="D103" s="758"/>
      <c r="E103" s="126"/>
    </row>
    <row r="104" spans="1:5" s="17" customFormat="1" ht="15" customHeight="1">
      <c r="A104" s="46"/>
      <c r="B104" s="758"/>
      <c r="C104" s="758"/>
      <c r="D104" s="758"/>
      <c r="E104" s="126"/>
    </row>
    <row r="105" spans="1:5" s="17" customFormat="1" ht="15" customHeight="1">
      <c r="A105" s="46"/>
      <c r="B105" s="758"/>
      <c r="C105" s="758"/>
      <c r="D105" s="758"/>
      <c r="E105" s="126"/>
    </row>
    <row r="106" spans="1:5" s="17" customFormat="1" ht="15" customHeight="1">
      <c r="A106" s="46"/>
      <c r="B106" s="758"/>
      <c r="C106" s="758"/>
      <c r="D106" s="758"/>
      <c r="E106" s="126"/>
    </row>
    <row r="107" spans="1:5" s="17" customFormat="1" ht="15" customHeight="1">
      <c r="A107" s="46"/>
      <c r="B107" s="758"/>
      <c r="C107" s="758"/>
      <c r="D107" s="758"/>
      <c r="E107" s="126"/>
    </row>
    <row r="108" spans="1:5" s="17" customFormat="1" ht="15" customHeight="1">
      <c r="A108" s="46"/>
      <c r="B108" s="758"/>
      <c r="C108" s="758"/>
      <c r="D108" s="758"/>
      <c r="E108" s="126"/>
    </row>
    <row r="109" spans="1:5" s="17" customFormat="1" ht="15" customHeight="1">
      <c r="A109" s="46"/>
      <c r="B109" s="758"/>
      <c r="C109" s="758"/>
      <c r="D109" s="758"/>
      <c r="E109" s="126"/>
    </row>
    <row r="110" spans="1:5" s="17" customFormat="1" ht="15" customHeight="1">
      <c r="A110" s="46"/>
      <c r="B110" s="758"/>
      <c r="C110" s="758"/>
      <c r="D110" s="758"/>
      <c r="E110" s="126"/>
    </row>
    <row r="111" spans="1:5" s="17" customFormat="1" ht="15" customHeight="1">
      <c r="A111" s="46"/>
      <c r="B111" s="758"/>
      <c r="C111" s="758"/>
      <c r="D111" s="758"/>
      <c r="E111" s="126"/>
    </row>
    <row r="112" spans="1:5" s="17" customFormat="1" ht="15" customHeight="1">
      <c r="A112" s="46"/>
      <c r="B112" s="758"/>
      <c r="C112" s="758"/>
      <c r="D112" s="758"/>
      <c r="E112" s="126"/>
    </row>
    <row r="113" spans="1:5" s="17" customFormat="1" ht="15" customHeight="1">
      <c r="A113" s="46"/>
      <c r="B113" s="758"/>
      <c r="C113" s="758"/>
      <c r="D113" s="758"/>
      <c r="E113" s="126"/>
    </row>
    <row r="114" spans="1:5" s="17" customFormat="1" ht="15" customHeight="1">
      <c r="A114" s="46"/>
      <c r="B114" s="758"/>
      <c r="C114" s="758"/>
      <c r="D114" s="758"/>
      <c r="E114" s="126"/>
    </row>
    <row r="115" spans="1:5" s="17" customFormat="1" ht="15" customHeight="1">
      <c r="A115" s="46"/>
      <c r="B115" s="758"/>
      <c r="C115" s="758"/>
      <c r="D115" s="758"/>
      <c r="E115" s="126"/>
    </row>
    <row r="116" spans="1:5" s="17" customFormat="1" ht="15" customHeight="1">
      <c r="A116" s="46"/>
      <c r="B116" s="758"/>
      <c r="C116" s="758"/>
      <c r="D116" s="758"/>
      <c r="E116" s="126"/>
    </row>
    <row r="117" spans="1:5" s="17" customFormat="1" ht="15" customHeight="1">
      <c r="A117" s="46"/>
      <c r="B117" s="758"/>
      <c r="C117" s="758"/>
      <c r="D117" s="758"/>
      <c r="E117" s="126"/>
    </row>
    <row r="118" spans="1:5" s="17" customFormat="1" ht="15" customHeight="1">
      <c r="A118" s="46"/>
      <c r="B118" s="758"/>
      <c r="C118" s="758"/>
      <c r="D118" s="758"/>
      <c r="E118" s="126"/>
    </row>
    <row r="119" spans="1:5" s="17" customFormat="1" ht="15" customHeight="1">
      <c r="A119" s="46"/>
      <c r="B119" s="758"/>
      <c r="C119" s="758"/>
      <c r="D119" s="758"/>
      <c r="E119" s="126"/>
    </row>
    <row r="120" spans="1:5" s="17" customFormat="1" ht="15" customHeight="1">
      <c r="A120" s="46"/>
      <c r="B120" s="758"/>
      <c r="C120" s="758"/>
      <c r="D120" s="758"/>
      <c r="E120" s="126"/>
    </row>
    <row r="121" spans="1:5" s="17" customFormat="1" ht="15" customHeight="1">
      <c r="A121" s="752"/>
      <c r="B121" s="758"/>
      <c r="C121" s="758"/>
      <c r="D121" s="758"/>
      <c r="E121" s="126"/>
    </row>
    <row r="122" spans="1:5" s="17" customFormat="1" ht="15" customHeight="1">
      <c r="A122" s="752"/>
      <c r="B122" s="758"/>
      <c r="C122" s="758"/>
      <c r="D122" s="758"/>
      <c r="E122" s="126"/>
    </row>
    <row r="123" spans="1:5" s="17" customFormat="1" ht="15" customHeight="1">
      <c r="A123" s="752"/>
      <c r="B123" s="758"/>
      <c r="C123" s="758"/>
      <c r="D123" s="758"/>
      <c r="E123" s="126"/>
    </row>
    <row r="124" spans="1:5" s="17" customFormat="1" ht="15" customHeight="1">
      <c r="A124" s="752"/>
      <c r="B124" s="758"/>
      <c r="C124" s="758"/>
      <c r="D124" s="758"/>
      <c r="E124" s="126"/>
    </row>
    <row r="125" spans="1:5" s="17" customFormat="1" ht="15" customHeight="1">
      <c r="A125" s="752"/>
      <c r="B125" s="758"/>
      <c r="C125" s="758"/>
      <c r="D125" s="758"/>
      <c r="E125" s="126"/>
    </row>
    <row r="126" spans="1:5" s="17" customFormat="1" ht="15" customHeight="1">
      <c r="A126" s="752"/>
      <c r="B126" s="758"/>
      <c r="C126" s="758"/>
      <c r="D126" s="758"/>
      <c r="E126" s="126"/>
    </row>
    <row r="127" spans="1:5" s="17" customFormat="1" ht="15" customHeight="1">
      <c r="A127" s="752"/>
      <c r="B127" s="758"/>
      <c r="C127" s="758"/>
      <c r="D127" s="758"/>
      <c r="E127" s="126"/>
    </row>
    <row r="128" ht="15" customHeight="1">
      <c r="A128" s="48"/>
    </row>
    <row r="129" ht="15" customHeight="1">
      <c r="A129" s="48"/>
    </row>
    <row r="130" ht="15" customHeight="1">
      <c r="A130" s="48"/>
    </row>
    <row r="131" ht="15" customHeight="1">
      <c r="A131" s="48"/>
    </row>
    <row r="132" ht="15" customHeight="1">
      <c r="A132" s="48"/>
    </row>
    <row r="133" ht="15" customHeight="1">
      <c r="A133" s="48"/>
    </row>
    <row r="134" ht="15" customHeight="1">
      <c r="A134" s="48"/>
    </row>
    <row r="135" ht="15" customHeight="1">
      <c r="A135" s="48"/>
    </row>
    <row r="136" ht="15" customHeight="1">
      <c r="A136" s="48"/>
    </row>
    <row r="137" ht="15" customHeight="1">
      <c r="A137" s="48"/>
    </row>
    <row r="138" ht="15" customHeight="1">
      <c r="A138" s="48"/>
    </row>
    <row r="139" ht="15" customHeight="1">
      <c r="A139" s="48"/>
    </row>
    <row r="140" ht="15" customHeight="1">
      <c r="A140" s="48"/>
    </row>
    <row r="141" ht="15" customHeight="1">
      <c r="A141" s="48"/>
    </row>
    <row r="142" ht="15" customHeight="1">
      <c r="A142" s="48"/>
    </row>
    <row r="143" ht="15" customHeight="1">
      <c r="A143" s="48"/>
    </row>
    <row r="144" ht="15" customHeight="1">
      <c r="A144" s="48"/>
    </row>
    <row r="145" ht="15" customHeight="1">
      <c r="A145" s="48"/>
    </row>
    <row r="146" ht="15" customHeight="1">
      <c r="A146" s="48"/>
    </row>
    <row r="147" ht="15" customHeight="1">
      <c r="A147" s="48"/>
    </row>
    <row r="148" ht="15" customHeight="1">
      <c r="A148" s="48"/>
    </row>
    <row r="149" ht="15" customHeight="1">
      <c r="A149" s="48"/>
    </row>
    <row r="150" ht="15" customHeight="1">
      <c r="A150" s="48"/>
    </row>
    <row r="151" ht="15" customHeight="1">
      <c r="A151" s="48"/>
    </row>
    <row r="152" ht="15" customHeight="1">
      <c r="A152" s="48"/>
    </row>
    <row r="153" ht="15" customHeight="1">
      <c r="A153" s="48"/>
    </row>
    <row r="154" ht="15" customHeight="1">
      <c r="A154" s="48"/>
    </row>
    <row r="155" ht="15" customHeight="1">
      <c r="A155" s="48"/>
    </row>
    <row r="156" ht="15" customHeight="1">
      <c r="A156" s="48"/>
    </row>
    <row r="157" ht="15" customHeight="1">
      <c r="A157" s="48"/>
    </row>
    <row r="158" ht="15" customHeight="1">
      <c r="A158" s="48"/>
    </row>
    <row r="159" ht="15" customHeight="1">
      <c r="A159" s="48"/>
    </row>
    <row r="160" ht="15" customHeight="1">
      <c r="A160" s="48"/>
    </row>
    <row r="161" ht="15" customHeight="1">
      <c r="A161" s="48"/>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4
</oddFooter>
  </headerFooter>
</worksheet>
</file>

<file path=xl/worksheets/sheet11.xml><?xml version="1.0" encoding="utf-8"?>
<worksheet xmlns="http://schemas.openxmlformats.org/spreadsheetml/2006/main" xmlns:r="http://schemas.openxmlformats.org/officeDocument/2006/relationships">
  <dimension ref="A1:H42"/>
  <sheetViews>
    <sheetView zoomScale="75" zoomScaleNormal="75" workbookViewId="0" topLeftCell="A1">
      <selection activeCell="A1" sqref="A1"/>
    </sheetView>
  </sheetViews>
  <sheetFormatPr defaultColWidth="9.140625" defaultRowHeight="15" customHeight="1"/>
  <cols>
    <col min="1" max="1" width="50.7109375" style="2" customWidth="1"/>
    <col min="2" max="6" width="15.57421875" style="171" bestFit="1" customWidth="1"/>
    <col min="7" max="7" width="15.57421875" style="171" customWidth="1"/>
    <col min="8" max="16384" width="15.7109375" style="2" customWidth="1"/>
  </cols>
  <sheetData>
    <row r="1" spans="1:7" s="256" customFormat="1" ht="30" customHeight="1">
      <c r="A1" s="409" t="s">
        <v>77</v>
      </c>
      <c r="B1" s="410"/>
      <c r="C1" s="410"/>
      <c r="D1" s="410"/>
      <c r="E1" s="410"/>
      <c r="F1" s="410"/>
      <c r="G1" s="411"/>
    </row>
    <row r="2" spans="1:7" s="97" customFormat="1" ht="15" customHeight="1">
      <c r="A2" s="412"/>
      <c r="B2" s="413"/>
      <c r="C2" s="413"/>
      <c r="D2" s="413"/>
      <c r="E2" s="413"/>
      <c r="F2" s="413"/>
      <c r="G2" s="414"/>
    </row>
    <row r="3" spans="1:7" s="14" customFormat="1" ht="15" customHeight="1">
      <c r="A3" s="823" t="s">
        <v>200</v>
      </c>
      <c r="B3" s="415"/>
      <c r="C3" s="415"/>
      <c r="D3" s="415"/>
      <c r="E3" s="415"/>
      <c r="F3" s="415"/>
      <c r="G3" s="414"/>
    </row>
    <row r="4" spans="1:7" s="14" customFormat="1" ht="15" customHeight="1">
      <c r="A4" s="823" t="s">
        <v>469</v>
      </c>
      <c r="B4" s="415"/>
      <c r="C4" s="415"/>
      <c r="D4" s="415"/>
      <c r="E4" s="415"/>
      <c r="F4" s="415"/>
      <c r="G4" s="414"/>
    </row>
    <row r="5" spans="1:7" s="14" customFormat="1" ht="15" customHeight="1">
      <c r="A5" s="416"/>
      <c r="B5" s="417"/>
      <c r="C5" s="417"/>
      <c r="D5" s="417"/>
      <c r="E5" s="417"/>
      <c r="F5" s="417"/>
      <c r="G5" s="417"/>
    </row>
    <row r="6" spans="1:7" s="792" customFormat="1" ht="30" customHeight="1">
      <c r="A6" s="824"/>
      <c r="B6" s="799" t="s">
        <v>482</v>
      </c>
      <c r="C6" s="799" t="s">
        <v>293</v>
      </c>
      <c r="D6" s="799" t="s">
        <v>289</v>
      </c>
      <c r="E6" s="800" t="s">
        <v>19</v>
      </c>
      <c r="F6" s="800" t="s">
        <v>483</v>
      </c>
      <c r="G6" s="825" t="s">
        <v>78</v>
      </c>
    </row>
    <row r="7" spans="1:7" s="792" customFormat="1" ht="15" customHeight="1">
      <c r="A7" s="826" t="s">
        <v>201</v>
      </c>
      <c r="B7" s="827"/>
      <c r="C7" s="827"/>
      <c r="D7" s="827"/>
      <c r="E7" s="827"/>
      <c r="F7" s="827"/>
      <c r="G7" s="827"/>
    </row>
    <row r="8" spans="1:7" s="831" customFormat="1" ht="15" customHeight="1">
      <c r="A8" s="828" t="s">
        <v>270</v>
      </c>
      <c r="B8" s="829">
        <f>-'[11]1Q07 TB (ROUNDED)'!C237</f>
        <v>3497368</v>
      </c>
      <c r="C8" s="829">
        <f>-'[11]1Q07 TB (ROUNDED)'!C233</f>
        <v>25030</v>
      </c>
      <c r="D8" s="830">
        <f>-'[11]1Q07 TB (ROUNDED)'!C230</f>
        <v>-4141</v>
      </c>
      <c r="E8" s="804">
        <v>0</v>
      </c>
      <c r="F8" s="804">
        <v>0</v>
      </c>
      <c r="G8" s="829">
        <f>SUM(B8:F8)</f>
        <v>3518257</v>
      </c>
    </row>
    <row r="9" spans="1:7" s="792" customFormat="1" ht="15" customHeight="1">
      <c r="A9" s="828" t="s">
        <v>215</v>
      </c>
      <c r="B9" s="832">
        <f>-'[11]1Q07 TB (ROUNDED)'!C238</f>
        <v>971694</v>
      </c>
      <c r="C9" s="832">
        <f>-'[11]1Q07 TB (ROUNDED)'!C234</f>
        <v>-7234</v>
      </c>
      <c r="D9" s="832">
        <f>-'[11]1Q07 TB (ROUNDED)'!C231</f>
        <v>-782</v>
      </c>
      <c r="E9" s="804">
        <v>0</v>
      </c>
      <c r="F9" s="804">
        <v>0</v>
      </c>
      <c r="G9" s="340">
        <f>SUM(B9:F9)</f>
        <v>963678</v>
      </c>
    </row>
    <row r="10" spans="1:7" s="792" customFormat="1" ht="15" customHeight="1">
      <c r="A10" s="828" t="s">
        <v>216</v>
      </c>
      <c r="B10" s="832">
        <f>-'[11]1Q07 TB (ROUNDED)'!C239</f>
        <v>9699</v>
      </c>
      <c r="C10" s="832">
        <f>-'[11]1Q07 TB (ROUNDED)'!C235</f>
        <v>-115</v>
      </c>
      <c r="D10" s="804">
        <v>0</v>
      </c>
      <c r="E10" s="804">
        <v>0</v>
      </c>
      <c r="F10" s="804">
        <v>0</v>
      </c>
      <c r="G10" s="340">
        <f>SUM(B10:F10)</f>
        <v>9584</v>
      </c>
    </row>
    <row r="11" spans="1:7" s="7" customFormat="1" ht="15" customHeight="1" thickBot="1">
      <c r="A11" s="833" t="s">
        <v>205</v>
      </c>
      <c r="B11" s="813">
        <f aca="true" t="shared" si="0" ref="B11:G11">SUM(B8:B10)</f>
        <v>4478761</v>
      </c>
      <c r="C11" s="813">
        <f t="shared" si="0"/>
        <v>17681</v>
      </c>
      <c r="D11" s="834">
        <f t="shared" si="0"/>
        <v>-4923</v>
      </c>
      <c r="E11" s="813">
        <f t="shared" si="0"/>
        <v>0</v>
      </c>
      <c r="F11" s="813">
        <f t="shared" si="0"/>
        <v>0</v>
      </c>
      <c r="G11" s="835">
        <f t="shared" si="0"/>
        <v>4491519</v>
      </c>
    </row>
    <row r="12" spans="1:7" s="7" customFormat="1" ht="15" customHeight="1" thickTop="1">
      <c r="A12" s="828"/>
      <c r="B12" s="804"/>
      <c r="C12" s="804"/>
      <c r="D12" s="804"/>
      <c r="E12" s="804"/>
      <c r="F12" s="804"/>
      <c r="G12" s="836"/>
    </row>
    <row r="13" spans="1:7" s="7" customFormat="1" ht="30" customHeight="1">
      <c r="A13" s="826" t="s">
        <v>478</v>
      </c>
      <c r="B13" s="804"/>
      <c r="C13" s="804"/>
      <c r="D13" s="804"/>
      <c r="E13" s="804"/>
      <c r="F13" s="804"/>
      <c r="G13" s="804"/>
    </row>
    <row r="14" spans="1:7" s="7" customFormat="1" ht="15" customHeight="1">
      <c r="A14" s="828" t="s">
        <v>270</v>
      </c>
      <c r="B14" s="832">
        <f>-'[11]1Q07 TB (ROUNDED)'!C60</f>
        <v>3056244</v>
      </c>
      <c r="C14" s="832">
        <f>-'[11]1Q07 TB (ROUNDED)'!C56</f>
        <v>4677635</v>
      </c>
      <c r="D14" s="804">
        <v>0</v>
      </c>
      <c r="E14" s="804">
        <v>0</v>
      </c>
      <c r="F14" s="804">
        <v>0</v>
      </c>
      <c r="G14" s="340">
        <f>SUM(B14:F14)</f>
        <v>7733879</v>
      </c>
    </row>
    <row r="15" spans="1:7" s="7" customFormat="1" ht="15" customHeight="1">
      <c r="A15" s="828" t="s">
        <v>309</v>
      </c>
      <c r="B15" s="832">
        <f>-'[11]1Q07 TB (ROUNDED)'!C61</f>
        <v>847286</v>
      </c>
      <c r="C15" s="832">
        <f>-'[11]1Q07 TB (ROUNDED)'!C57</f>
        <v>1316357</v>
      </c>
      <c r="D15" s="804">
        <v>0</v>
      </c>
      <c r="E15" s="804">
        <v>0</v>
      </c>
      <c r="F15" s="804">
        <v>0</v>
      </c>
      <c r="G15" s="340">
        <f>SUM(B15:F15)</f>
        <v>2163643</v>
      </c>
    </row>
    <row r="16" spans="1:7" s="7" customFormat="1" ht="15" customHeight="1">
      <c r="A16" s="828" t="s">
        <v>228</v>
      </c>
      <c r="B16" s="832">
        <f>-'[11]1Q07 TB (ROUNDED)'!C62</f>
        <v>8535</v>
      </c>
      <c r="C16" s="832">
        <f>-'[11]1Q07 TB (ROUNDED)'!C58</f>
        <v>11811</v>
      </c>
      <c r="D16" s="804">
        <v>0</v>
      </c>
      <c r="E16" s="804">
        <v>0</v>
      </c>
      <c r="F16" s="804">
        <v>0</v>
      </c>
      <c r="G16" s="837">
        <f>SUM(B16:F16)</f>
        <v>20346</v>
      </c>
    </row>
    <row r="17" spans="1:7" s="7" customFormat="1" ht="15" customHeight="1" thickBot="1">
      <c r="A17" s="833" t="s">
        <v>205</v>
      </c>
      <c r="B17" s="813">
        <f>SUM(B14:B16)</f>
        <v>3912065</v>
      </c>
      <c r="C17" s="813">
        <f>SUM(C14:C16)</f>
        <v>6005803</v>
      </c>
      <c r="D17" s="813">
        <f>SUM(D14:D16)</f>
        <v>0</v>
      </c>
      <c r="E17" s="813">
        <f>SUM(E14:E16)</f>
        <v>0</v>
      </c>
      <c r="F17" s="813">
        <v>0</v>
      </c>
      <c r="G17" s="835">
        <f>SUM(G14:G16)</f>
        <v>9917868</v>
      </c>
    </row>
    <row r="18" spans="1:7" s="7" customFormat="1" ht="15" customHeight="1" thickTop="1">
      <c r="A18" s="828"/>
      <c r="B18" s="804"/>
      <c r="C18" s="804"/>
      <c r="D18" s="804"/>
      <c r="E18" s="804"/>
      <c r="F18" s="804"/>
      <c r="G18" s="836"/>
    </row>
    <row r="19" spans="1:7" s="7" customFormat="1" ht="30" customHeight="1">
      <c r="A19" s="826" t="s">
        <v>479</v>
      </c>
      <c r="B19" s="815"/>
      <c r="C19" s="815"/>
      <c r="D19" s="815"/>
      <c r="E19" s="815"/>
      <c r="F19" s="804"/>
      <c r="G19" s="804"/>
    </row>
    <row r="20" spans="1:7" s="7" customFormat="1" ht="15" customHeight="1">
      <c r="A20" s="828" t="s">
        <v>270</v>
      </c>
      <c r="B20" s="804">
        <v>0</v>
      </c>
      <c r="C20" s="804">
        <v>8308331</v>
      </c>
      <c r="D20" s="804">
        <v>0</v>
      </c>
      <c r="E20" s="804">
        <v>0</v>
      </c>
      <c r="F20" s="804">
        <v>0</v>
      </c>
      <c r="G20" s="340">
        <f>SUM(B20:F20)</f>
        <v>8308331</v>
      </c>
    </row>
    <row r="21" spans="1:7" s="7" customFormat="1" ht="15" customHeight="1">
      <c r="A21" s="828" t="s">
        <v>215</v>
      </c>
      <c r="B21" s="804">
        <v>0</v>
      </c>
      <c r="C21" s="804">
        <v>2344617</v>
      </c>
      <c r="D21" s="804">
        <v>0</v>
      </c>
      <c r="E21" s="804">
        <v>0</v>
      </c>
      <c r="F21" s="804">
        <v>0</v>
      </c>
      <c r="G21" s="340">
        <f>SUM(B21:F21)</f>
        <v>2344617</v>
      </c>
    </row>
    <row r="22" spans="1:7" s="7" customFormat="1" ht="15" customHeight="1">
      <c r="A22" s="828" t="s">
        <v>216</v>
      </c>
      <c r="B22" s="804">
        <v>0</v>
      </c>
      <c r="C22" s="804">
        <v>21426</v>
      </c>
      <c r="D22" s="804">
        <v>0</v>
      </c>
      <c r="E22" s="804">
        <v>0</v>
      </c>
      <c r="F22" s="804">
        <v>0</v>
      </c>
      <c r="G22" s="340">
        <f>SUM(B22:F22)</f>
        <v>21426</v>
      </c>
    </row>
    <row r="23" spans="1:7" s="7" customFormat="1" ht="15" customHeight="1">
      <c r="A23" s="833" t="s">
        <v>205</v>
      </c>
      <c r="B23" s="813">
        <f aca="true" t="shared" si="1" ref="B23:G23">SUM(B20:B22)</f>
        <v>0</v>
      </c>
      <c r="C23" s="813">
        <f t="shared" si="1"/>
        <v>10674374</v>
      </c>
      <c r="D23" s="813">
        <f t="shared" si="1"/>
        <v>0</v>
      </c>
      <c r="E23" s="813">
        <f t="shared" si="1"/>
        <v>0</v>
      </c>
      <c r="F23" s="813">
        <f t="shared" si="1"/>
        <v>0</v>
      </c>
      <c r="G23" s="838">
        <f t="shared" si="1"/>
        <v>10674374</v>
      </c>
    </row>
    <row r="24" spans="1:7" s="840" customFormat="1" ht="15" customHeight="1">
      <c r="A24" s="839"/>
      <c r="B24" s="804"/>
      <c r="C24" s="804"/>
      <c r="D24" s="804"/>
      <c r="E24" s="804"/>
      <c r="F24" s="804"/>
      <c r="G24" s="804"/>
    </row>
    <row r="25" spans="1:7" s="7" customFormat="1" ht="15" customHeight="1">
      <c r="A25" s="826" t="s">
        <v>206</v>
      </c>
      <c r="B25" s="804"/>
      <c r="C25" s="804"/>
      <c r="D25" s="804"/>
      <c r="E25" s="804"/>
      <c r="F25" s="804"/>
      <c r="G25" s="804"/>
    </row>
    <row r="26" spans="1:7" s="7" customFormat="1" ht="15" customHeight="1">
      <c r="A26" s="828" t="s">
        <v>270</v>
      </c>
      <c r="B26" s="804">
        <f aca="true" t="shared" si="2" ref="B26:F28">B8-(B14-B20)</f>
        <v>441124</v>
      </c>
      <c r="C26" s="804">
        <f t="shared" si="2"/>
        <v>3655726</v>
      </c>
      <c r="D26" s="832">
        <f t="shared" si="2"/>
        <v>-4141</v>
      </c>
      <c r="E26" s="804">
        <f t="shared" si="2"/>
        <v>0</v>
      </c>
      <c r="F26" s="804">
        <f t="shared" si="2"/>
        <v>0</v>
      </c>
      <c r="G26" s="340">
        <f>SUM(B26:F26)</f>
        <v>4092709</v>
      </c>
    </row>
    <row r="27" spans="1:7" s="7" customFormat="1" ht="15" customHeight="1">
      <c r="A27" s="828" t="s">
        <v>215</v>
      </c>
      <c r="B27" s="804">
        <f t="shared" si="2"/>
        <v>124408</v>
      </c>
      <c r="C27" s="804">
        <f t="shared" si="2"/>
        <v>1021026</v>
      </c>
      <c r="D27" s="832">
        <f t="shared" si="2"/>
        <v>-782</v>
      </c>
      <c r="E27" s="804">
        <f t="shared" si="2"/>
        <v>0</v>
      </c>
      <c r="F27" s="804">
        <f t="shared" si="2"/>
        <v>0</v>
      </c>
      <c r="G27" s="340">
        <f>SUM(B27:F27)</f>
        <v>1144652</v>
      </c>
    </row>
    <row r="28" spans="1:7" s="7" customFormat="1" ht="15" customHeight="1">
      <c r="A28" s="841" t="s">
        <v>216</v>
      </c>
      <c r="B28" s="340">
        <f t="shared" si="2"/>
        <v>1164</v>
      </c>
      <c r="C28" s="340">
        <f t="shared" si="2"/>
        <v>9500</v>
      </c>
      <c r="D28" s="340">
        <f t="shared" si="2"/>
        <v>0</v>
      </c>
      <c r="E28" s="340">
        <f t="shared" si="2"/>
        <v>0</v>
      </c>
      <c r="F28" s="804">
        <f t="shared" si="2"/>
        <v>0</v>
      </c>
      <c r="G28" s="340">
        <f>SUM(B28:F28)</f>
        <v>10664</v>
      </c>
    </row>
    <row r="29" spans="1:7" s="7" customFormat="1" ht="15" customHeight="1" thickBot="1">
      <c r="A29" s="833" t="s">
        <v>205</v>
      </c>
      <c r="B29" s="842">
        <f aca="true" t="shared" si="3" ref="B29:G29">SUM(B26:B28)</f>
        <v>566696</v>
      </c>
      <c r="C29" s="842">
        <f t="shared" si="3"/>
        <v>4686252</v>
      </c>
      <c r="D29" s="843">
        <f t="shared" si="3"/>
        <v>-4923</v>
      </c>
      <c r="E29" s="844">
        <f t="shared" si="3"/>
        <v>0</v>
      </c>
      <c r="F29" s="844">
        <f t="shared" si="3"/>
        <v>0</v>
      </c>
      <c r="G29" s="842">
        <f t="shared" si="3"/>
        <v>5248025</v>
      </c>
    </row>
    <row r="30" spans="2:7" s="792" customFormat="1" ht="15" customHeight="1" thickTop="1">
      <c r="B30" s="836"/>
      <c r="C30" s="836"/>
      <c r="D30" s="836"/>
      <c r="E30" s="836"/>
      <c r="F30" s="836"/>
      <c r="G30" s="836"/>
    </row>
    <row r="31" spans="1:7" s="961" customFormat="1" ht="19.5" customHeight="1">
      <c r="A31" s="1025" t="s">
        <v>489</v>
      </c>
      <c r="B31" s="1025"/>
      <c r="C31" s="1025"/>
      <c r="D31" s="1025"/>
      <c r="E31" s="1025"/>
      <c r="F31" s="1025"/>
      <c r="G31" s="1025"/>
    </row>
    <row r="32" spans="1:7" s="961" customFormat="1" ht="19.5" customHeight="1">
      <c r="A32" s="1025"/>
      <c r="B32" s="1025"/>
      <c r="C32" s="1025"/>
      <c r="D32" s="1025"/>
      <c r="E32" s="1025"/>
      <c r="F32" s="1025"/>
      <c r="G32" s="1025"/>
    </row>
    <row r="33" spans="1:7" s="961" customFormat="1" ht="19.5" customHeight="1">
      <c r="A33" s="1025"/>
      <c r="B33" s="1025"/>
      <c r="C33" s="1025"/>
      <c r="D33" s="1025"/>
      <c r="E33" s="1025"/>
      <c r="F33" s="1025"/>
      <c r="G33" s="1025"/>
    </row>
    <row r="34" spans="1:7" ht="19.5" customHeight="1">
      <c r="A34" s="134"/>
      <c r="B34" s="1026" t="s">
        <v>258</v>
      </c>
      <c r="C34" s="1026" t="s">
        <v>1</v>
      </c>
      <c r="D34" s="134"/>
      <c r="E34" s="962"/>
      <c r="F34" s="1026" t="s">
        <v>258</v>
      </c>
      <c r="G34" s="1026" t="s">
        <v>1</v>
      </c>
    </row>
    <row r="35" spans="1:7" ht="19.5" customHeight="1">
      <c r="A35" s="963" t="s">
        <v>143</v>
      </c>
      <c r="B35" s="1026"/>
      <c r="C35" s="1026"/>
      <c r="D35" s="134"/>
      <c r="E35" s="964" t="s">
        <v>143</v>
      </c>
      <c r="F35" s="1026"/>
      <c r="G35" s="1026"/>
    </row>
    <row r="36" spans="1:8" ht="15" customHeight="1">
      <c r="A36" s="965" t="s">
        <v>485</v>
      </c>
      <c r="B36" s="965">
        <v>1708249</v>
      </c>
      <c r="C36" s="965">
        <v>2148461</v>
      </c>
      <c r="D36" s="966" t="s">
        <v>484</v>
      </c>
      <c r="E36" s="965">
        <v>373063.47</v>
      </c>
      <c r="F36" s="965">
        <v>1685853.65</v>
      </c>
      <c r="G36" s="965">
        <f>E36+F36</f>
        <v>2058917.1199999999</v>
      </c>
      <c r="H36" s="4"/>
    </row>
    <row r="37" spans="1:8" ht="15" customHeight="1">
      <c r="A37" s="965" t="s">
        <v>486</v>
      </c>
      <c r="B37" s="965">
        <v>1790008</v>
      </c>
      <c r="C37" s="965">
        <v>2307222</v>
      </c>
      <c r="D37" s="966"/>
      <c r="E37" s="965"/>
      <c r="F37" s="965"/>
      <c r="G37" s="965"/>
      <c r="H37" s="4"/>
    </row>
    <row r="38" spans="1:8" ht="15" customHeight="1">
      <c r="A38" s="965" t="s">
        <v>487</v>
      </c>
      <c r="B38" s="965">
        <v>1859864.91</v>
      </c>
      <c r="C38" s="965">
        <v>2358137.36</v>
      </c>
      <c r="D38" s="966"/>
      <c r="E38" s="965"/>
      <c r="F38" s="965"/>
      <c r="G38" s="965"/>
      <c r="H38" s="4"/>
    </row>
    <row r="39" spans="1:8" ht="15" customHeight="1">
      <c r="A39" s="965" t="s">
        <v>488</v>
      </c>
      <c r="B39" s="965">
        <v>1778362.64</v>
      </c>
      <c r="C39" s="965">
        <v>2281184.75</v>
      </c>
      <c r="D39" s="966"/>
      <c r="E39" s="965"/>
      <c r="F39" s="965"/>
      <c r="G39" s="965"/>
      <c r="H39" s="4"/>
    </row>
    <row r="40" spans="1:7" s="134" customFormat="1" ht="15" customHeight="1">
      <c r="A40" s="967"/>
      <c r="B40" s="968"/>
      <c r="C40" s="968"/>
      <c r="D40" s="968"/>
      <c r="E40" s="967"/>
      <c r="F40" s="969"/>
      <c r="G40" s="969"/>
    </row>
    <row r="41" spans="1:7" s="134" customFormat="1" ht="15" customHeight="1">
      <c r="A41" s="1025" t="s">
        <v>261</v>
      </c>
      <c r="B41" s="1025"/>
      <c r="C41" s="1025"/>
      <c r="D41" s="1025"/>
      <c r="E41" s="1025"/>
      <c r="F41" s="1025"/>
      <c r="G41" s="1025"/>
    </row>
    <row r="42" spans="1:7" s="134" customFormat="1" ht="15" customHeight="1">
      <c r="A42" s="1025"/>
      <c r="B42" s="1025"/>
      <c r="C42" s="1025"/>
      <c r="D42" s="1025"/>
      <c r="E42" s="1025"/>
      <c r="F42" s="1025"/>
      <c r="G42" s="1025"/>
    </row>
    <row r="43" ht="19.5" customHeight="1"/>
  </sheetData>
  <mergeCells count="6">
    <mergeCell ref="A41:G42"/>
    <mergeCell ref="A31:G33"/>
    <mergeCell ref="B34:B35"/>
    <mergeCell ref="C34:C35"/>
    <mergeCell ref="F34:F35"/>
    <mergeCell ref="G34:G35"/>
  </mergeCells>
  <printOptions horizontalCentered="1"/>
  <pageMargins left="0.25" right="0.25" top="0.5" bottom="0.5" header="0.5" footer="0.5"/>
  <pageSetup horizontalDpi="600" verticalDpi="600" orientation="landscape" scale="70" r:id="rId1"/>
  <headerFooter alignWithMargins="0">
    <oddFooter>&amp;CPage 5</oddFooter>
  </headerFooter>
</worksheet>
</file>

<file path=xl/worksheets/sheet12.xml><?xml version="1.0" encoding="utf-8"?>
<worksheet xmlns="http://schemas.openxmlformats.org/spreadsheetml/2006/main" xmlns:r="http://schemas.openxmlformats.org/officeDocument/2006/relationships">
  <dimension ref="A1:G75"/>
  <sheetViews>
    <sheetView zoomScale="75" zoomScaleNormal="75" workbookViewId="0" topLeftCell="A1">
      <selection activeCell="A1" sqref="A1:G1"/>
    </sheetView>
  </sheetViews>
  <sheetFormatPr defaultColWidth="9.140625" defaultRowHeight="15" customHeight="1"/>
  <cols>
    <col min="1" max="1" width="45.7109375" style="783" customWidth="1"/>
    <col min="2" max="4" width="15.57421875" style="782" bestFit="1" customWidth="1"/>
    <col min="5" max="6" width="15.57421875" style="784" bestFit="1" customWidth="1"/>
    <col min="7" max="7" width="15.57421875" style="784" customWidth="1"/>
    <col min="8" max="16384" width="15.7109375" style="778" customWidth="1"/>
  </cols>
  <sheetData>
    <row r="1" spans="1:7" ht="24.75" customHeight="1">
      <c r="A1" s="1027" t="s">
        <v>77</v>
      </c>
      <c r="B1" s="1027"/>
      <c r="C1" s="1027"/>
      <c r="D1" s="1027"/>
      <c r="E1" s="1027"/>
      <c r="F1" s="1027"/>
      <c r="G1" s="1027"/>
    </row>
    <row r="2" spans="1:7" ht="15" customHeight="1">
      <c r="A2" s="779"/>
      <c r="B2" s="780"/>
      <c r="C2" s="780"/>
      <c r="D2" s="780"/>
      <c r="E2" s="780"/>
      <c r="F2" s="780"/>
      <c r="G2" s="780"/>
    </row>
    <row r="3" spans="1:7" s="845" customFormat="1" ht="15" customHeight="1">
      <c r="A3" s="1028" t="s">
        <v>211</v>
      </c>
      <c r="B3" s="1028"/>
      <c r="C3" s="1028"/>
      <c r="D3" s="1028"/>
      <c r="E3" s="1028"/>
      <c r="F3" s="1028"/>
      <c r="G3" s="1028"/>
    </row>
    <row r="4" spans="1:7" s="845" customFormat="1" ht="15" customHeight="1">
      <c r="A4" s="1028" t="s">
        <v>469</v>
      </c>
      <c r="B4" s="1028"/>
      <c r="C4" s="1028"/>
      <c r="D4" s="1028"/>
      <c r="E4" s="1028"/>
      <c r="F4" s="1028"/>
      <c r="G4" s="1028"/>
    </row>
    <row r="5" spans="1:7" ht="15" customHeight="1">
      <c r="A5" s="779"/>
      <c r="B5" s="781"/>
      <c r="C5" s="781"/>
      <c r="D5" s="781"/>
      <c r="E5" s="780"/>
      <c r="F5" s="780"/>
      <c r="G5" s="780"/>
    </row>
    <row r="6" spans="1:7" s="847" customFormat="1" ht="30" customHeight="1">
      <c r="A6" s="846"/>
      <c r="B6" s="799" t="s">
        <v>482</v>
      </c>
      <c r="C6" s="799" t="s">
        <v>293</v>
      </c>
      <c r="D6" s="799" t="s">
        <v>289</v>
      </c>
      <c r="E6" s="799" t="s">
        <v>19</v>
      </c>
      <c r="F6" s="799" t="s">
        <v>483</v>
      </c>
      <c r="G6" s="799" t="s">
        <v>78</v>
      </c>
    </row>
    <row r="7" spans="1:7" s="847" customFormat="1" ht="15" customHeight="1">
      <c r="A7" s="846"/>
      <c r="B7" s="848"/>
      <c r="C7" s="848"/>
      <c r="D7" s="848"/>
      <c r="E7" s="848"/>
      <c r="F7" s="848"/>
      <c r="G7" s="848"/>
    </row>
    <row r="8" spans="1:7" s="847" customFormat="1" ht="15" customHeight="1">
      <c r="A8" s="846" t="s">
        <v>212</v>
      </c>
      <c r="B8" s="848"/>
      <c r="C8" s="848"/>
      <c r="D8" s="848"/>
      <c r="E8" s="848"/>
      <c r="F8" s="848"/>
      <c r="G8" s="848"/>
    </row>
    <row r="9" spans="1:7" s="847" customFormat="1" ht="15" customHeight="1">
      <c r="A9" s="846" t="s">
        <v>294</v>
      </c>
      <c r="B9" s="849"/>
      <c r="C9" s="849"/>
      <c r="D9" s="849"/>
      <c r="E9" s="849"/>
      <c r="F9" s="849"/>
      <c r="G9" s="849"/>
    </row>
    <row r="10" spans="1:7" s="847" customFormat="1" ht="15" customHeight="1">
      <c r="A10" s="850" t="s">
        <v>214</v>
      </c>
      <c r="B10" s="804">
        <f>'[11]Loss Expenses QTD-10'!E34</f>
        <v>0</v>
      </c>
      <c r="C10" s="829">
        <f>'[11]Loss Expenses QTD-10'!E28</f>
        <v>2575097</v>
      </c>
      <c r="D10" s="830">
        <f>'[11]Loss Expenses QTD-10'!E22+'[11]1Q07 TB (ROUNDED)'!C286</f>
        <v>581656</v>
      </c>
      <c r="E10" s="830">
        <f>'[11]Loss Expenses QTD-10'!E16+'[11]1Q07 TB (ROUNDED)'!C284</f>
        <v>-21244</v>
      </c>
      <c r="F10" s="804">
        <f>'[11]Loss Expenses QTD-10'!E10</f>
        <v>0</v>
      </c>
      <c r="G10" s="829">
        <f>SUM(B10:F10)</f>
        <v>3135509</v>
      </c>
    </row>
    <row r="11" spans="1:7" s="847" customFormat="1" ht="15" customHeight="1">
      <c r="A11" s="850" t="s">
        <v>215</v>
      </c>
      <c r="B11" s="804">
        <f>'[11]Loss Expenses QTD-10'!E35</f>
        <v>0</v>
      </c>
      <c r="C11" s="804">
        <f>'[11]Loss Expenses QTD-10'!E29+'[11]1Q07 TB (ROUNDED)'!C289</f>
        <v>98676</v>
      </c>
      <c r="D11" s="804">
        <f>'[11]Loss Expenses QTD-10'!E23+'[11]1Q07 TB (ROUNDED)'!C287</f>
        <v>28017</v>
      </c>
      <c r="E11" s="804">
        <f>'[11]Loss Expenses QTD-10'!E17</f>
        <v>0</v>
      </c>
      <c r="F11" s="804">
        <f>'[11]Loss Expenses QTD-10'!E11</f>
        <v>0</v>
      </c>
      <c r="G11" s="851">
        <f>SUM(B11:F11)</f>
        <v>126693</v>
      </c>
    </row>
    <row r="12" spans="1:7" s="847" customFormat="1" ht="15" customHeight="1">
      <c r="A12" s="850" t="s">
        <v>216</v>
      </c>
      <c r="B12" s="804">
        <f>'[11]Loss Expenses QTD-10'!E36</f>
        <v>0</v>
      </c>
      <c r="C12" s="804">
        <f>'[11]Loss Expenses QTD-10'!E30</f>
        <v>0</v>
      </c>
      <c r="D12" s="804">
        <f>'[11]Loss Expenses QTD-10'!E24</f>
        <v>976</v>
      </c>
      <c r="E12" s="804">
        <f>'[11]Loss Expenses QTD-10'!E18</f>
        <v>0</v>
      </c>
      <c r="F12" s="804">
        <f>'[11]Loss Expenses QTD-10'!E12</f>
        <v>0</v>
      </c>
      <c r="G12" s="851">
        <f>SUM(B12:F12)</f>
        <v>976</v>
      </c>
    </row>
    <row r="13" spans="1:7" s="847" customFormat="1" ht="15" customHeight="1" thickBot="1">
      <c r="A13" s="852" t="s">
        <v>205</v>
      </c>
      <c r="B13" s="478">
        <f aca="true" t="shared" si="0" ref="B13:G13">SUM(B10:B12)</f>
        <v>0</v>
      </c>
      <c r="C13" s="478">
        <f t="shared" si="0"/>
        <v>2673773</v>
      </c>
      <c r="D13" s="478">
        <f t="shared" si="0"/>
        <v>610649</v>
      </c>
      <c r="E13" s="853">
        <f t="shared" si="0"/>
        <v>-21244</v>
      </c>
      <c r="F13" s="854">
        <f t="shared" si="0"/>
        <v>0</v>
      </c>
      <c r="G13" s="855">
        <f t="shared" si="0"/>
        <v>3263178</v>
      </c>
    </row>
    <row r="14" spans="1:7" s="847" customFormat="1" ht="15" customHeight="1" thickTop="1">
      <c r="A14" s="846"/>
      <c r="B14" s="856"/>
      <c r="C14" s="856"/>
      <c r="D14" s="856"/>
      <c r="E14" s="851"/>
      <c r="F14" s="851"/>
      <c r="G14" s="851"/>
    </row>
    <row r="15" spans="1:7" s="847" customFormat="1" ht="15" customHeight="1">
      <c r="A15" s="846" t="s">
        <v>475</v>
      </c>
      <c r="B15" s="856"/>
      <c r="C15" s="856"/>
      <c r="D15" s="856"/>
      <c r="E15" s="851"/>
      <c r="F15" s="851"/>
      <c r="G15" s="851"/>
    </row>
    <row r="16" spans="1:7" s="847" customFormat="1" ht="15" customHeight="1">
      <c r="A16" s="850" t="s">
        <v>217</v>
      </c>
      <c r="B16" s="804">
        <f>'[11]ALAE &amp; ULAE Calculation-9'!B10</f>
        <v>378005</v>
      </c>
      <c r="C16" s="804">
        <f>'[11]ALAE &amp; ULAE Calculation-9'!C10</f>
        <v>5085831</v>
      </c>
      <c r="D16" s="804">
        <f>'[11]ALAE &amp; ULAE Calculation-9'!D10</f>
        <v>246150</v>
      </c>
      <c r="E16" s="804">
        <f>'[11]ALAE &amp; ULAE Calculation-9'!E10</f>
        <v>0</v>
      </c>
      <c r="F16" s="804">
        <f>'[11]ALAE &amp; ULAE Calculation-9'!F10</f>
        <v>40000</v>
      </c>
      <c r="G16" s="851">
        <f>SUM(B16:F16)</f>
        <v>5749986</v>
      </c>
    </row>
    <row r="17" spans="1:7" s="847" customFormat="1" ht="15" customHeight="1">
      <c r="A17" s="850" t="s">
        <v>218</v>
      </c>
      <c r="B17" s="804">
        <f>'[11]ALAE &amp; ULAE Calculation-9'!B11</f>
        <v>11050</v>
      </c>
      <c r="C17" s="804">
        <f>'[11]ALAE &amp; ULAE Calculation-9'!C11</f>
        <v>232205</v>
      </c>
      <c r="D17" s="804">
        <f>'[11]ALAE &amp; ULAE Calculation-9'!D11</f>
        <v>85997</v>
      </c>
      <c r="E17" s="804">
        <f>'[11]ALAE &amp; ULAE Calculation-9'!E11</f>
        <v>40000</v>
      </c>
      <c r="F17" s="804">
        <f>'[11]ALAE &amp; ULAE Calculation-9'!F11</f>
        <v>0</v>
      </c>
      <c r="G17" s="851">
        <f>SUM(B17:F17)</f>
        <v>369252</v>
      </c>
    </row>
    <row r="18" spans="1:7" s="847" customFormat="1" ht="15" customHeight="1">
      <c r="A18" s="850" t="s">
        <v>219</v>
      </c>
      <c r="B18" s="804">
        <f>'[11]ALAE &amp; ULAE Calculation-9'!B12</f>
        <v>0</v>
      </c>
      <c r="C18" s="804">
        <f>'[11]ALAE &amp; ULAE Calculation-9'!C12</f>
        <v>0</v>
      </c>
      <c r="D18" s="804">
        <f>'[11]ALAE &amp; ULAE Calculation-9'!D12</f>
        <v>0</v>
      </c>
      <c r="E18" s="804">
        <f>'[11]ALAE &amp; ULAE Calculation-9'!E12</f>
        <v>0</v>
      </c>
      <c r="F18" s="804">
        <f>'[11]ALAE &amp; ULAE Calculation-9'!F12</f>
        <v>0</v>
      </c>
      <c r="G18" s="851">
        <f>SUM(B18:F18)</f>
        <v>0</v>
      </c>
    </row>
    <row r="19" spans="1:7" s="847" customFormat="1" ht="15" customHeight="1" thickBot="1">
      <c r="A19" s="852" t="s">
        <v>205</v>
      </c>
      <c r="B19" s="478">
        <f aca="true" t="shared" si="1" ref="B19:G19">SUM(B16:B18)</f>
        <v>389055</v>
      </c>
      <c r="C19" s="478">
        <f t="shared" si="1"/>
        <v>5318036</v>
      </c>
      <c r="D19" s="478">
        <f t="shared" si="1"/>
        <v>332147</v>
      </c>
      <c r="E19" s="854">
        <f t="shared" si="1"/>
        <v>40000</v>
      </c>
      <c r="F19" s="854">
        <f t="shared" si="1"/>
        <v>40000</v>
      </c>
      <c r="G19" s="857">
        <f t="shared" si="1"/>
        <v>6119238</v>
      </c>
    </row>
    <row r="20" spans="1:7" s="847" customFormat="1" ht="15" customHeight="1" thickTop="1">
      <c r="A20" s="846"/>
      <c r="B20" s="476"/>
      <c r="C20" s="476"/>
      <c r="D20" s="476"/>
      <c r="E20" s="858"/>
      <c r="F20" s="858"/>
      <c r="G20" s="858"/>
    </row>
    <row r="21" spans="1:7" s="847" customFormat="1" ht="15" customHeight="1">
      <c r="A21" s="846" t="s">
        <v>476</v>
      </c>
      <c r="B21" s="859"/>
      <c r="C21" s="859"/>
      <c r="D21" s="859"/>
      <c r="E21" s="859"/>
      <c r="F21" s="859"/>
      <c r="G21" s="859"/>
    </row>
    <row r="22" spans="1:7" s="847" customFormat="1" ht="15" customHeight="1">
      <c r="A22" s="850" t="s">
        <v>217</v>
      </c>
      <c r="B22" s="804">
        <f>'[11]IBNR Calculation-8'!B35</f>
        <v>50004</v>
      </c>
      <c r="C22" s="832">
        <f>'[11]IBNR Calculation-8'!B29</f>
        <v>-672230</v>
      </c>
      <c r="D22" s="804">
        <f>'[11]IBNR Calculation-8'!B22</f>
        <v>12257</v>
      </c>
      <c r="E22" s="804">
        <f>'[11]IBNR Calculation-8'!B15</f>
        <v>0</v>
      </c>
      <c r="F22" s="804">
        <f>'[11]IBNR Calculation-8'!B9</f>
        <v>0</v>
      </c>
      <c r="G22" s="860">
        <f>SUM(B22:F22)</f>
        <v>-609969</v>
      </c>
    </row>
    <row r="23" spans="1:7" s="847" customFormat="1" ht="15" customHeight="1">
      <c r="A23" s="850" t="s">
        <v>218</v>
      </c>
      <c r="B23" s="804">
        <f>'[11]IBNR Calculation-8'!B36</f>
        <v>1462</v>
      </c>
      <c r="C23" s="832">
        <f>'[11]IBNR Calculation-8'!B30</f>
        <v>-30692</v>
      </c>
      <c r="D23" s="804">
        <f>'[11]IBNR Calculation-8'!B23</f>
        <v>4282</v>
      </c>
      <c r="E23" s="804">
        <f>'[11]IBNR Calculation-8'!B16</f>
        <v>12071</v>
      </c>
      <c r="F23" s="804">
        <f>'[11]IBNR Calculation-8'!B10</f>
        <v>0</v>
      </c>
      <c r="G23" s="860">
        <f>SUM(B23:F23)</f>
        <v>-12877</v>
      </c>
    </row>
    <row r="24" spans="1:7" s="847" customFormat="1" ht="15" customHeight="1">
      <c r="A24" s="850" t="s">
        <v>219</v>
      </c>
      <c r="B24" s="804">
        <f>'[11]IBNR Calculation-8'!B37</f>
        <v>0</v>
      </c>
      <c r="C24" s="804">
        <f>'[11]IBNR Calculation-8'!B31</f>
        <v>0</v>
      </c>
      <c r="D24" s="804">
        <f>'[11]IBNR Calculation-8'!B24</f>
        <v>0</v>
      </c>
      <c r="E24" s="804">
        <f>'[11]IBNR Calculation-8'!B17</f>
        <v>0</v>
      </c>
      <c r="F24" s="804">
        <f>'[11]IBNR Calculation-8'!B11</f>
        <v>0</v>
      </c>
      <c r="G24" s="851">
        <f>SUM(B24:F24)</f>
        <v>0</v>
      </c>
    </row>
    <row r="25" spans="1:7" s="847" customFormat="1" ht="15" customHeight="1" thickBot="1">
      <c r="A25" s="852" t="s">
        <v>205</v>
      </c>
      <c r="B25" s="478">
        <f aca="true" t="shared" si="2" ref="B25:G25">SUM(B22:B24)</f>
        <v>51466</v>
      </c>
      <c r="C25" s="853">
        <f t="shared" si="2"/>
        <v>-702922</v>
      </c>
      <c r="D25" s="478">
        <f t="shared" si="2"/>
        <v>16539</v>
      </c>
      <c r="E25" s="854">
        <f t="shared" si="2"/>
        <v>12071</v>
      </c>
      <c r="F25" s="854">
        <f t="shared" si="2"/>
        <v>0</v>
      </c>
      <c r="G25" s="861">
        <f t="shared" si="2"/>
        <v>-622846</v>
      </c>
    </row>
    <row r="26" spans="1:7" s="847" customFormat="1" ht="15" customHeight="1" thickTop="1">
      <c r="A26" s="846"/>
      <c r="B26" s="856"/>
      <c r="C26" s="856"/>
      <c r="D26" s="856"/>
      <c r="E26" s="851"/>
      <c r="F26" s="851"/>
      <c r="G26" s="851"/>
    </row>
    <row r="27" spans="1:7" s="847" customFormat="1" ht="15" customHeight="1">
      <c r="A27" s="846" t="s">
        <v>477</v>
      </c>
      <c r="B27" s="862"/>
      <c r="C27" s="862"/>
      <c r="D27" s="862"/>
      <c r="E27" s="851"/>
      <c r="F27" s="851"/>
      <c r="G27" s="851"/>
    </row>
    <row r="28" spans="1:7" s="847" customFormat="1" ht="15" customHeight="1">
      <c r="A28" s="846" t="s">
        <v>295</v>
      </c>
      <c r="B28" s="862"/>
      <c r="C28" s="862"/>
      <c r="D28" s="862"/>
      <c r="E28" s="851"/>
      <c r="F28" s="851"/>
      <c r="G28" s="851"/>
    </row>
    <row r="29" spans="1:7" s="847" customFormat="1" ht="15" customHeight="1">
      <c r="A29" s="850" t="s">
        <v>217</v>
      </c>
      <c r="B29" s="804">
        <v>0</v>
      </c>
      <c r="C29" s="804">
        <v>4017025</v>
      </c>
      <c r="D29" s="804">
        <v>1185991</v>
      </c>
      <c r="E29" s="804">
        <v>45391</v>
      </c>
      <c r="F29" s="804">
        <v>72070</v>
      </c>
      <c r="G29" s="851">
        <f>SUM(B29:F29)</f>
        <v>5320477</v>
      </c>
    </row>
    <row r="30" spans="1:7" s="847" customFormat="1" ht="15" customHeight="1">
      <c r="A30" s="850" t="s">
        <v>218</v>
      </c>
      <c r="B30" s="804">
        <v>0</v>
      </c>
      <c r="C30" s="804">
        <v>155783</v>
      </c>
      <c r="D30" s="804">
        <v>162156</v>
      </c>
      <c r="E30" s="804">
        <v>65502</v>
      </c>
      <c r="F30" s="804">
        <v>3300</v>
      </c>
      <c r="G30" s="851">
        <f>SUM(B30:F30)</f>
        <v>386741</v>
      </c>
    </row>
    <row r="31" spans="1:7" s="847" customFormat="1" ht="15" customHeight="1">
      <c r="A31" s="850" t="s">
        <v>219</v>
      </c>
      <c r="B31" s="804">
        <v>0</v>
      </c>
      <c r="C31" s="804">
        <v>0</v>
      </c>
      <c r="D31" s="804">
        <v>1209</v>
      </c>
      <c r="E31" s="804">
        <v>0</v>
      </c>
      <c r="F31" s="804">
        <v>0</v>
      </c>
      <c r="G31" s="851">
        <f>SUM(B31:F31)</f>
        <v>1209</v>
      </c>
    </row>
    <row r="32" spans="1:7" s="847" customFormat="1" ht="15" customHeight="1" thickBot="1">
      <c r="A32" s="852" t="s">
        <v>205</v>
      </c>
      <c r="B32" s="478">
        <f aca="true" t="shared" si="3" ref="B32:G32">SUM(B29:B31)</f>
        <v>0</v>
      </c>
      <c r="C32" s="478">
        <f t="shared" si="3"/>
        <v>4172808</v>
      </c>
      <c r="D32" s="478">
        <f t="shared" si="3"/>
        <v>1349356</v>
      </c>
      <c r="E32" s="854">
        <f t="shared" si="3"/>
        <v>110893</v>
      </c>
      <c r="F32" s="854">
        <f>SUM(F29:F31)</f>
        <v>75370</v>
      </c>
      <c r="G32" s="857">
        <f t="shared" si="3"/>
        <v>5708427</v>
      </c>
    </row>
    <row r="33" spans="1:7" s="863" customFormat="1" ht="15" customHeight="1" thickTop="1">
      <c r="A33" s="846"/>
      <c r="B33" s="862"/>
      <c r="C33" s="862"/>
      <c r="D33" s="862"/>
      <c r="E33" s="862"/>
      <c r="F33" s="862"/>
      <c r="G33" s="862"/>
    </row>
    <row r="34" spans="1:7" s="847" customFormat="1" ht="15" customHeight="1">
      <c r="A34" s="846" t="s">
        <v>220</v>
      </c>
      <c r="B34" s="856"/>
      <c r="C34" s="856"/>
      <c r="D34" s="856"/>
      <c r="E34" s="851"/>
      <c r="F34" s="851"/>
      <c r="G34" s="851"/>
    </row>
    <row r="35" spans="1:7" s="847" customFormat="1" ht="15" customHeight="1">
      <c r="A35" s="850" t="s">
        <v>217</v>
      </c>
      <c r="B35" s="832">
        <f aca="true" t="shared" si="4" ref="B35:F37">B10+(B16+B22-B29)</f>
        <v>428009</v>
      </c>
      <c r="C35" s="832">
        <f>C10+(C16+C22-C29)</f>
        <v>2971673</v>
      </c>
      <c r="D35" s="832">
        <f t="shared" si="4"/>
        <v>-345928</v>
      </c>
      <c r="E35" s="832">
        <f t="shared" si="4"/>
        <v>-66635</v>
      </c>
      <c r="F35" s="832">
        <f>F10+(F16+F22-F29)</f>
        <v>-32070</v>
      </c>
      <c r="G35" s="851">
        <f>SUM(B35:F35)</f>
        <v>2955049</v>
      </c>
    </row>
    <row r="36" spans="1:7" s="847" customFormat="1" ht="15" customHeight="1">
      <c r="A36" s="850" t="s">
        <v>218</v>
      </c>
      <c r="B36" s="832">
        <f>B11+(B17+B23-B30)</f>
        <v>12512</v>
      </c>
      <c r="C36" s="832">
        <f>C11+(C17+C23-C30)</f>
        <v>144406</v>
      </c>
      <c r="D36" s="832">
        <f>D11+(D17+D23-D30)</f>
        <v>-43860</v>
      </c>
      <c r="E36" s="832">
        <f>E11+(E17+E23-E30)</f>
        <v>-13431</v>
      </c>
      <c r="F36" s="832">
        <f t="shared" si="4"/>
        <v>-3300</v>
      </c>
      <c r="G36" s="851">
        <f>SUM(B36:F36)</f>
        <v>96327</v>
      </c>
    </row>
    <row r="37" spans="1:7" s="847" customFormat="1" ht="15" customHeight="1">
      <c r="A37" s="850" t="s">
        <v>219</v>
      </c>
      <c r="B37" s="851">
        <f t="shared" si="4"/>
        <v>0</v>
      </c>
      <c r="C37" s="851">
        <f t="shared" si="4"/>
        <v>0</v>
      </c>
      <c r="D37" s="832">
        <f t="shared" si="4"/>
        <v>-233</v>
      </c>
      <c r="E37" s="851">
        <f t="shared" si="4"/>
        <v>0</v>
      </c>
      <c r="F37" s="851">
        <f t="shared" si="4"/>
        <v>0</v>
      </c>
      <c r="G37" s="832">
        <f>SUM(B37:F37)</f>
        <v>-233</v>
      </c>
    </row>
    <row r="38" spans="1:7" s="847" customFormat="1" ht="15" customHeight="1" thickBot="1">
      <c r="A38" s="852" t="s">
        <v>205</v>
      </c>
      <c r="B38" s="795">
        <f aca="true" t="shared" si="5" ref="B38:G38">SUM(B35:B37)</f>
        <v>440521</v>
      </c>
      <c r="C38" s="864">
        <f t="shared" si="5"/>
        <v>3116079</v>
      </c>
      <c r="D38" s="864">
        <f t="shared" si="5"/>
        <v>-390021</v>
      </c>
      <c r="E38" s="795">
        <f t="shared" si="5"/>
        <v>-80066</v>
      </c>
      <c r="F38" s="864">
        <f t="shared" si="5"/>
        <v>-35370</v>
      </c>
      <c r="G38" s="864">
        <f t="shared" si="5"/>
        <v>3051143</v>
      </c>
    </row>
    <row r="39" spans="1:7" s="847" customFormat="1" ht="15" customHeight="1" thickTop="1">
      <c r="A39" s="865"/>
      <c r="B39" s="859"/>
      <c r="C39" s="859"/>
      <c r="D39" s="859"/>
      <c r="E39" s="866"/>
      <c r="F39" s="866"/>
      <c r="G39" s="867"/>
    </row>
    <row r="40" spans="1:7" s="847" customFormat="1" ht="15" customHeight="1">
      <c r="A40" s="850"/>
      <c r="B40" s="804"/>
      <c r="C40" s="804"/>
      <c r="D40" s="804"/>
      <c r="E40" s="804"/>
      <c r="F40" s="804"/>
      <c r="G40" s="866"/>
    </row>
    <row r="41" spans="1:7" s="847" customFormat="1" ht="15" customHeight="1">
      <c r="A41" s="865"/>
      <c r="B41" s="804"/>
      <c r="C41" s="804"/>
      <c r="D41" s="804"/>
      <c r="E41" s="804"/>
      <c r="F41" s="804"/>
      <c r="G41" s="866"/>
    </row>
    <row r="42" spans="1:7" s="847" customFormat="1" ht="15" customHeight="1">
      <c r="A42" s="865"/>
      <c r="B42" s="848"/>
      <c r="C42" s="848"/>
      <c r="D42" s="848"/>
      <c r="E42" s="866"/>
      <c r="F42" s="866"/>
      <c r="G42" s="866"/>
    </row>
    <row r="43" spans="1:7" s="847" customFormat="1" ht="15" customHeight="1">
      <c r="A43" s="865"/>
      <c r="B43" s="848"/>
      <c r="C43" s="848"/>
      <c r="D43" s="848"/>
      <c r="E43" s="866"/>
      <c r="F43" s="866"/>
      <c r="G43" s="866"/>
    </row>
    <row r="44" spans="1:7" s="847" customFormat="1" ht="15" customHeight="1">
      <c r="A44" s="846"/>
      <c r="B44" s="848"/>
      <c r="C44" s="848"/>
      <c r="D44" s="848"/>
      <c r="E44" s="866"/>
      <c r="F44" s="866"/>
      <c r="G44" s="866"/>
    </row>
    <row r="45" spans="1:7" s="847" customFormat="1" ht="15" customHeight="1">
      <c r="A45" s="846"/>
      <c r="B45" s="848"/>
      <c r="C45" s="848"/>
      <c r="D45" s="848"/>
      <c r="E45" s="866"/>
      <c r="F45" s="866"/>
      <c r="G45" s="866"/>
    </row>
    <row r="46" spans="1:7" s="847" customFormat="1" ht="15" customHeight="1">
      <c r="A46" s="846"/>
      <c r="B46" s="848"/>
      <c r="C46" s="848"/>
      <c r="D46" s="848"/>
      <c r="E46" s="866"/>
      <c r="F46" s="866"/>
      <c r="G46" s="866"/>
    </row>
    <row r="47" spans="1:7" s="847" customFormat="1" ht="15" customHeight="1">
      <c r="A47" s="846"/>
      <c r="B47" s="848"/>
      <c r="C47" s="848"/>
      <c r="D47" s="848"/>
      <c r="E47" s="866"/>
      <c r="F47" s="866"/>
      <c r="G47" s="866"/>
    </row>
    <row r="48" spans="1:7" s="847" customFormat="1" ht="15" customHeight="1">
      <c r="A48" s="846"/>
      <c r="B48" s="848"/>
      <c r="C48" s="848"/>
      <c r="D48" s="848"/>
      <c r="E48" s="866"/>
      <c r="F48" s="866"/>
      <c r="G48" s="866"/>
    </row>
    <row r="49" spans="1:7" s="847" customFormat="1" ht="15" customHeight="1">
      <c r="A49" s="846"/>
      <c r="B49" s="848"/>
      <c r="C49" s="848"/>
      <c r="D49" s="848"/>
      <c r="E49" s="866"/>
      <c r="F49" s="866"/>
      <c r="G49" s="866"/>
    </row>
    <row r="50" spans="1:7" s="847" customFormat="1" ht="15" customHeight="1">
      <c r="A50" s="846"/>
      <c r="B50" s="848"/>
      <c r="C50" s="848"/>
      <c r="D50" s="848"/>
      <c r="E50" s="866"/>
      <c r="F50" s="866"/>
      <c r="G50" s="866"/>
    </row>
    <row r="51" ht="15" customHeight="1">
      <c r="A51" s="779"/>
    </row>
    <row r="52" ht="15" customHeight="1">
      <c r="A52" s="779"/>
    </row>
    <row r="53" ht="15" customHeight="1">
      <c r="A53" s="779"/>
    </row>
    <row r="54" ht="15" customHeight="1">
      <c r="A54" s="779"/>
    </row>
    <row r="55" ht="15" customHeight="1">
      <c r="A55" s="779"/>
    </row>
    <row r="56" ht="15" customHeight="1">
      <c r="A56" s="779"/>
    </row>
    <row r="57" ht="15" customHeight="1">
      <c r="A57" s="779"/>
    </row>
    <row r="58" ht="15" customHeight="1">
      <c r="A58" s="779"/>
    </row>
    <row r="59" ht="15" customHeight="1">
      <c r="A59" s="779"/>
    </row>
    <row r="60" ht="15" customHeight="1">
      <c r="A60" s="779"/>
    </row>
    <row r="61" ht="15" customHeight="1">
      <c r="A61" s="779"/>
    </row>
    <row r="62" ht="15" customHeight="1">
      <c r="A62" s="779"/>
    </row>
    <row r="63" ht="15" customHeight="1">
      <c r="A63" s="779"/>
    </row>
    <row r="64" ht="15" customHeight="1">
      <c r="A64" s="779"/>
    </row>
    <row r="65" ht="15" customHeight="1">
      <c r="A65" s="779"/>
    </row>
    <row r="66" ht="15" customHeight="1">
      <c r="A66" s="779"/>
    </row>
    <row r="67" ht="15" customHeight="1">
      <c r="A67" s="779"/>
    </row>
    <row r="68" ht="15" customHeight="1">
      <c r="A68" s="779"/>
    </row>
    <row r="69" ht="15" customHeight="1">
      <c r="A69" s="779"/>
    </row>
    <row r="70" ht="15" customHeight="1">
      <c r="A70" s="779"/>
    </row>
    <row r="71" ht="15" customHeight="1">
      <c r="A71" s="779"/>
    </row>
    <row r="72" ht="15" customHeight="1">
      <c r="A72" s="779"/>
    </row>
    <row r="73" ht="15" customHeight="1">
      <c r="A73" s="779"/>
    </row>
    <row r="74" ht="15" customHeight="1">
      <c r="A74" s="779"/>
    </row>
    <row r="75" ht="15" customHeight="1">
      <c r="A75" s="779"/>
    </row>
  </sheetData>
  <mergeCells count="3">
    <mergeCell ref="A1:G1"/>
    <mergeCell ref="A3:G3"/>
    <mergeCell ref="A4:G4"/>
  </mergeCells>
  <printOptions horizontalCentered="1"/>
  <pageMargins left="0.25" right="0.25" top="0.5" bottom="0.5" header="0.25" footer="0.25"/>
  <pageSetup horizontalDpi="300" verticalDpi="300" orientation="landscape" scale="80"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777" customWidth="1"/>
    <col min="2" max="3" width="15.57421875" style="787" bestFit="1" customWidth="1"/>
    <col min="4" max="4" width="15.7109375" style="787" customWidth="1"/>
    <col min="5" max="6" width="15.57421875" style="776" bestFit="1" customWidth="1"/>
    <col min="7" max="8" width="15.7109375" style="776" customWidth="1"/>
    <col min="9" max="16384" width="15.7109375" style="777" customWidth="1"/>
  </cols>
  <sheetData>
    <row r="1" spans="1:7" ht="30" customHeight="1">
      <c r="A1" s="791" t="s">
        <v>77</v>
      </c>
      <c r="B1" s="773"/>
      <c r="C1" s="773"/>
      <c r="D1" s="773"/>
      <c r="E1" s="774"/>
      <c r="F1" s="774"/>
      <c r="G1" s="775"/>
    </row>
    <row r="2" spans="1:7" ht="15" customHeight="1">
      <c r="A2" s="785"/>
      <c r="B2" s="773"/>
      <c r="C2" s="773"/>
      <c r="D2" s="773"/>
      <c r="E2" s="773"/>
      <c r="F2" s="773"/>
      <c r="G2" s="775"/>
    </row>
    <row r="3" spans="1:8" s="17" customFormat="1" ht="15" customHeight="1">
      <c r="A3" s="796" t="s">
        <v>222</v>
      </c>
      <c r="B3" s="306"/>
      <c r="C3" s="306"/>
      <c r="D3" s="306"/>
      <c r="E3" s="797"/>
      <c r="F3" s="797"/>
      <c r="G3" s="332"/>
      <c r="H3" s="126"/>
    </row>
    <row r="4" spans="1:8" s="17" customFormat="1" ht="15" customHeight="1">
      <c r="A4" s="796" t="s">
        <v>223</v>
      </c>
      <c r="B4" s="306"/>
      <c r="C4" s="306"/>
      <c r="D4" s="306"/>
      <c r="E4" s="797"/>
      <c r="F4" s="797"/>
      <c r="G4" s="332"/>
      <c r="H4" s="126"/>
    </row>
    <row r="5" spans="1:8" s="17" customFormat="1" ht="15" customHeight="1">
      <c r="A5" s="444" t="s">
        <v>469</v>
      </c>
      <c r="B5" s="306"/>
      <c r="C5" s="306"/>
      <c r="D5" s="306"/>
      <c r="E5" s="797"/>
      <c r="F5" s="797"/>
      <c r="G5" s="332"/>
      <c r="H5" s="126"/>
    </row>
    <row r="6" spans="1:7" ht="15" customHeight="1">
      <c r="A6" s="786"/>
      <c r="E6" s="775"/>
      <c r="F6" s="775"/>
      <c r="G6" s="775"/>
    </row>
    <row r="7" spans="1:8" s="20" customFormat="1" ht="30" customHeight="1">
      <c r="A7" s="798"/>
      <c r="B7" s="799" t="s">
        <v>482</v>
      </c>
      <c r="C7" s="799" t="s">
        <v>293</v>
      </c>
      <c r="D7" s="799" t="s">
        <v>289</v>
      </c>
      <c r="E7" s="800" t="s">
        <v>19</v>
      </c>
      <c r="F7" s="800" t="s">
        <v>483</v>
      </c>
      <c r="G7" s="769" t="s">
        <v>78</v>
      </c>
      <c r="H7" s="335"/>
    </row>
    <row r="8" spans="1:8" s="20" customFormat="1" ht="30" customHeight="1">
      <c r="A8" s="801" t="s">
        <v>288</v>
      </c>
      <c r="B8" s="484"/>
      <c r="C8" s="802"/>
      <c r="D8" s="802"/>
      <c r="E8" s="802"/>
      <c r="F8" s="802"/>
      <c r="G8" s="803"/>
      <c r="H8" s="335"/>
    </row>
    <row r="9" spans="1:38" s="20" customFormat="1" ht="15" customHeight="1">
      <c r="A9" s="20" t="s">
        <v>202</v>
      </c>
      <c r="B9" s="804">
        <f>'[11]Loss Expenses QTD-10'!K34</f>
        <v>0</v>
      </c>
      <c r="C9" s="802">
        <f>'[11]Loss Expenses QTD-10'!K28</f>
        <v>256646</v>
      </c>
      <c r="D9" s="802">
        <f>'[11]Loss Expenses QTD-10'!K22</f>
        <v>89211</v>
      </c>
      <c r="E9" s="802">
        <f>'[11]Loss Expenses QTD-10'!K16</f>
        <v>5644</v>
      </c>
      <c r="F9" s="802">
        <f>'[11]Loss Expenses QTD-10'!K10</f>
        <v>355</v>
      </c>
      <c r="G9" s="802">
        <f>SUM(B9:F9)</f>
        <v>351856</v>
      </c>
      <c r="H9" s="805"/>
      <c r="I9" s="806"/>
      <c r="J9" s="806"/>
      <c r="K9" s="806"/>
      <c r="L9" s="806"/>
      <c r="M9" s="806"/>
      <c r="N9" s="806"/>
      <c r="O9" s="806"/>
      <c r="P9" s="806"/>
      <c r="Q9" s="806"/>
      <c r="R9" s="806"/>
      <c r="S9" s="806"/>
      <c r="T9" s="806"/>
      <c r="U9" s="806"/>
      <c r="V9" s="806"/>
      <c r="W9" s="806"/>
      <c r="X9" s="806"/>
      <c r="Y9" s="806"/>
      <c r="Z9" s="806"/>
      <c r="AA9" s="806"/>
      <c r="AB9" s="806"/>
      <c r="AC9" s="806"/>
      <c r="AD9" s="806"/>
      <c r="AE9" s="806"/>
      <c r="AF9" s="806"/>
      <c r="AG9" s="806"/>
      <c r="AH9" s="806"/>
      <c r="AI9" s="806"/>
      <c r="AJ9" s="806"/>
      <c r="AK9" s="806"/>
      <c r="AL9" s="806"/>
    </row>
    <row r="10" spans="1:38" s="807" customFormat="1" ht="15" customHeight="1">
      <c r="A10" s="807" t="s">
        <v>203</v>
      </c>
      <c r="B10" s="804">
        <f>'[11]Loss Expenses QTD-10'!K35</f>
        <v>253</v>
      </c>
      <c r="C10" s="804">
        <f>'[11]Loss Expenses QTD-10'!K29</f>
        <v>48827</v>
      </c>
      <c r="D10" s="804">
        <f>'[11]Loss Expenses QTD-10'!K23</f>
        <v>19805</v>
      </c>
      <c r="E10" s="804">
        <f>'[11]Loss Expenses QTD-10'!K17</f>
        <v>467</v>
      </c>
      <c r="F10" s="804">
        <f>'[11]Loss Expenses QTD-10'!K11</f>
        <v>1534</v>
      </c>
      <c r="G10" s="805">
        <f>SUM(B10:F10)</f>
        <v>70886</v>
      </c>
      <c r="H10" s="805"/>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8"/>
      <c r="AL10" s="808"/>
    </row>
    <row r="11" spans="1:38" s="807" customFormat="1" ht="15" customHeight="1">
      <c r="A11" s="807" t="s">
        <v>204</v>
      </c>
      <c r="B11" s="804">
        <f>'[11]Loss Expenses QTD-10'!K36</f>
        <v>0</v>
      </c>
      <c r="C11" s="804">
        <f>'[11]Loss Expenses QTD-10'!K30</f>
        <v>0</v>
      </c>
      <c r="D11" s="804">
        <f>'[11]Loss Expenses QTD-10'!K24</f>
        <v>617</v>
      </c>
      <c r="E11" s="804">
        <f>'[11]Loss Expenses QTD-10'!K18</f>
        <v>0</v>
      </c>
      <c r="F11" s="804">
        <f>'[11]Loss Expenses QTD-10'!K12</f>
        <v>0</v>
      </c>
      <c r="G11" s="805">
        <f>SUM(B11:F11)</f>
        <v>617</v>
      </c>
      <c r="H11" s="805"/>
      <c r="I11" s="808"/>
      <c r="J11" s="808"/>
      <c r="K11" s="808"/>
      <c r="L11" s="808"/>
      <c r="M11" s="808"/>
      <c r="N11" s="808"/>
      <c r="O11" s="808"/>
      <c r="P11" s="808"/>
      <c r="Q11" s="808"/>
      <c r="R11" s="808"/>
      <c r="S11" s="808"/>
      <c r="T11" s="808"/>
      <c r="U11" s="808"/>
      <c r="V11" s="808"/>
      <c r="W11" s="808"/>
      <c r="X11" s="808"/>
      <c r="Y11" s="808"/>
      <c r="Z11" s="808"/>
      <c r="AA11" s="808"/>
      <c r="AB11" s="808"/>
      <c r="AC11" s="808"/>
      <c r="AD11" s="808"/>
      <c r="AE11" s="808"/>
      <c r="AF11" s="808"/>
      <c r="AG11" s="808"/>
      <c r="AH11" s="808"/>
      <c r="AI11" s="808"/>
      <c r="AJ11" s="808"/>
      <c r="AK11" s="808"/>
      <c r="AL11" s="808"/>
    </row>
    <row r="12" spans="1:38" s="807" customFormat="1" ht="15" customHeight="1" thickBot="1">
      <c r="A12" s="809" t="s">
        <v>205</v>
      </c>
      <c r="B12" s="810">
        <f aca="true" t="shared" si="0" ref="B12:G12">SUM(B9:B11)</f>
        <v>253</v>
      </c>
      <c r="C12" s="810">
        <f t="shared" si="0"/>
        <v>305473</v>
      </c>
      <c r="D12" s="810">
        <f t="shared" si="0"/>
        <v>109633</v>
      </c>
      <c r="E12" s="810">
        <f t="shared" si="0"/>
        <v>6111</v>
      </c>
      <c r="F12" s="810">
        <f t="shared" si="0"/>
        <v>1889</v>
      </c>
      <c r="G12" s="811">
        <f t="shared" si="0"/>
        <v>423359</v>
      </c>
      <c r="H12" s="671"/>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8"/>
      <c r="AL12" s="808"/>
    </row>
    <row r="13" spans="2:38" s="807" customFormat="1" ht="15" customHeight="1" thickTop="1">
      <c r="B13" s="804"/>
      <c r="C13" s="804"/>
      <c r="D13" s="804"/>
      <c r="E13" s="805"/>
      <c r="F13" s="805"/>
      <c r="G13" s="335"/>
      <c r="I13" s="808"/>
      <c r="J13" s="808"/>
      <c r="K13" s="808"/>
      <c r="L13" s="808"/>
      <c r="M13" s="808"/>
      <c r="N13" s="808"/>
      <c r="O13" s="808"/>
      <c r="P13" s="808"/>
      <c r="Q13" s="808"/>
      <c r="R13" s="808"/>
      <c r="S13" s="808"/>
      <c r="T13" s="808"/>
      <c r="U13" s="808"/>
      <c r="V13" s="808"/>
      <c r="W13" s="808"/>
      <c r="X13" s="808"/>
      <c r="Y13" s="808"/>
      <c r="Z13" s="808"/>
      <c r="AA13" s="808"/>
      <c r="AB13" s="808"/>
      <c r="AC13" s="808"/>
      <c r="AD13" s="808"/>
      <c r="AE13" s="808"/>
      <c r="AF13" s="808"/>
      <c r="AG13" s="808"/>
      <c r="AH13" s="808"/>
      <c r="AI13" s="808"/>
      <c r="AJ13" s="808"/>
      <c r="AK13" s="808"/>
      <c r="AL13" s="808"/>
    </row>
    <row r="14" spans="1:38" s="807" customFormat="1" ht="30" customHeight="1">
      <c r="A14" s="812" t="s">
        <v>2</v>
      </c>
      <c r="B14" s="804"/>
      <c r="C14" s="804"/>
      <c r="D14" s="804"/>
      <c r="E14" s="805"/>
      <c r="F14" s="805"/>
      <c r="G14" s="671"/>
      <c r="H14" s="805"/>
      <c r="I14" s="808"/>
      <c r="J14" s="808"/>
      <c r="K14" s="808"/>
      <c r="L14" s="808"/>
      <c r="M14" s="808"/>
      <c r="N14" s="808"/>
      <c r="O14" s="808"/>
      <c r="P14" s="808"/>
      <c r="Q14" s="808"/>
      <c r="R14" s="808"/>
      <c r="S14" s="808"/>
      <c r="T14" s="808"/>
      <c r="U14" s="808"/>
      <c r="V14" s="808"/>
      <c r="W14" s="808"/>
      <c r="X14" s="808"/>
      <c r="Y14" s="808"/>
      <c r="Z14" s="808"/>
      <c r="AA14" s="808"/>
      <c r="AB14" s="808"/>
      <c r="AC14" s="808"/>
      <c r="AD14" s="808"/>
      <c r="AE14" s="808"/>
      <c r="AF14" s="808"/>
      <c r="AG14" s="808"/>
      <c r="AH14" s="808"/>
      <c r="AI14" s="808"/>
      <c r="AJ14" s="808"/>
      <c r="AK14" s="808"/>
      <c r="AL14" s="808"/>
    </row>
    <row r="15" spans="1:38" s="807" customFormat="1" ht="15" customHeight="1">
      <c r="A15" s="20" t="s">
        <v>202</v>
      </c>
      <c r="B15" s="804">
        <f>'[11]ALAE &amp; ULAE Calculation-9'!B30</f>
        <v>42597</v>
      </c>
      <c r="C15" s="804">
        <f>'[11]ALAE &amp; ULAE Calculation-9'!C30</f>
        <v>349228</v>
      </c>
      <c r="D15" s="804">
        <f>'[11]ALAE &amp; ULAE Calculation-9'!D30</f>
        <v>55182</v>
      </c>
      <c r="E15" s="804">
        <f>'[11]ALAE &amp; ULAE Calculation-9'!E30</f>
        <v>0</v>
      </c>
      <c r="F15" s="804">
        <f>'[11]ALAE &amp; ULAE Calculation-9'!F30</f>
        <v>7408</v>
      </c>
      <c r="G15" s="805">
        <f>SUM(B15:F15)</f>
        <v>454415</v>
      </c>
      <c r="H15" s="805"/>
      <c r="I15" s="808"/>
      <c r="J15" s="808"/>
      <c r="K15" s="808"/>
      <c r="L15" s="808"/>
      <c r="M15" s="808"/>
      <c r="N15" s="808"/>
      <c r="O15" s="808"/>
      <c r="P15" s="808"/>
      <c r="Q15" s="808"/>
      <c r="R15" s="808"/>
      <c r="S15" s="808"/>
      <c r="T15" s="808"/>
      <c r="U15" s="808"/>
      <c r="V15" s="808"/>
      <c r="W15" s="808"/>
      <c r="X15" s="808"/>
      <c r="Y15" s="808"/>
      <c r="Z15" s="808"/>
      <c r="AA15" s="808"/>
      <c r="AB15" s="808"/>
      <c r="AC15" s="808"/>
      <c r="AD15" s="808"/>
      <c r="AE15" s="808"/>
      <c r="AF15" s="808"/>
      <c r="AG15" s="808"/>
      <c r="AH15" s="808"/>
      <c r="AI15" s="808"/>
      <c r="AJ15" s="808"/>
      <c r="AK15" s="808"/>
      <c r="AL15" s="808"/>
    </row>
    <row r="16" spans="1:38" s="807" customFormat="1" ht="15" customHeight="1">
      <c r="A16" s="807" t="s">
        <v>203</v>
      </c>
      <c r="B16" s="804">
        <f>'[11]ALAE &amp; ULAE Calculation-9'!B31</f>
        <v>1246</v>
      </c>
      <c r="C16" s="804">
        <f>'[11]ALAE &amp; ULAE Calculation-9'!C31</f>
        <v>15945</v>
      </c>
      <c r="D16" s="804">
        <f>'[11]ALAE &amp; ULAE Calculation-9'!D31</f>
        <v>19279</v>
      </c>
      <c r="E16" s="804">
        <f>'[11]ALAE &amp; ULAE Calculation-9'!E31</f>
        <v>17250</v>
      </c>
      <c r="F16" s="804">
        <f>'[11]ALAE &amp; ULAE Calculation-9'!F31</f>
        <v>0</v>
      </c>
      <c r="G16" s="805">
        <f>SUM(B16:F16)</f>
        <v>53720</v>
      </c>
      <c r="H16" s="805"/>
      <c r="I16" s="808"/>
      <c r="J16" s="808"/>
      <c r="K16" s="808"/>
      <c r="L16" s="808"/>
      <c r="M16" s="808"/>
      <c r="N16" s="808"/>
      <c r="O16" s="808"/>
      <c r="P16" s="808"/>
      <c r="Q16" s="808"/>
      <c r="R16" s="808"/>
      <c r="S16" s="808"/>
      <c r="T16" s="808"/>
      <c r="U16" s="808"/>
      <c r="V16" s="808"/>
      <c r="W16" s="808"/>
      <c r="X16" s="808"/>
      <c r="Y16" s="808"/>
      <c r="Z16" s="808"/>
      <c r="AA16" s="808"/>
      <c r="AB16" s="808"/>
      <c r="AC16" s="808"/>
      <c r="AD16" s="808"/>
      <c r="AE16" s="808"/>
      <c r="AF16" s="808"/>
      <c r="AG16" s="808"/>
      <c r="AH16" s="808"/>
      <c r="AI16" s="808"/>
      <c r="AJ16" s="808"/>
      <c r="AK16" s="808"/>
      <c r="AL16" s="808"/>
    </row>
    <row r="17" spans="1:38" s="807" customFormat="1" ht="15" customHeight="1">
      <c r="A17" s="807" t="s">
        <v>204</v>
      </c>
      <c r="B17" s="804">
        <f>'[11]ALAE &amp; ULAE Calculation-9'!B32</f>
        <v>0</v>
      </c>
      <c r="C17" s="804">
        <f>'[11]ALAE &amp; ULAE Calculation-9'!C32</f>
        <v>0</v>
      </c>
      <c r="D17" s="804">
        <f>'[11]ALAE &amp; ULAE Calculation-9'!D32</f>
        <v>0</v>
      </c>
      <c r="E17" s="804">
        <f>'[11]ALAE &amp; ULAE Calculation-9'!E32</f>
        <v>0</v>
      </c>
      <c r="F17" s="804">
        <f>'[11]ALAE &amp; ULAE Calculation-9'!F32</f>
        <v>0</v>
      </c>
      <c r="G17" s="805">
        <f>SUM(B17:F17)</f>
        <v>0</v>
      </c>
      <c r="H17" s="805"/>
      <c r="I17" s="808"/>
      <c r="J17" s="808"/>
      <c r="K17" s="808"/>
      <c r="L17" s="808"/>
      <c r="M17" s="808"/>
      <c r="N17" s="808"/>
      <c r="O17" s="808"/>
      <c r="P17" s="808"/>
      <c r="Q17" s="808"/>
      <c r="R17" s="808"/>
      <c r="S17" s="808"/>
      <c r="T17" s="808"/>
      <c r="U17" s="808"/>
      <c r="V17" s="808"/>
      <c r="W17" s="808"/>
      <c r="X17" s="808"/>
      <c r="Y17" s="808"/>
      <c r="Z17" s="808"/>
      <c r="AA17" s="808"/>
      <c r="AB17" s="808"/>
      <c r="AC17" s="808"/>
      <c r="AD17" s="808"/>
      <c r="AE17" s="808"/>
      <c r="AF17" s="808"/>
      <c r="AG17" s="808"/>
      <c r="AH17" s="808"/>
      <c r="AI17" s="808"/>
      <c r="AJ17" s="808"/>
      <c r="AK17" s="808"/>
      <c r="AL17" s="808"/>
    </row>
    <row r="18" spans="1:38" s="807" customFormat="1" ht="15" customHeight="1" thickBot="1">
      <c r="A18" s="809" t="s">
        <v>205</v>
      </c>
      <c r="B18" s="813">
        <f aca="true" t="shared" si="1" ref="B18:G18">SUM(B15:B17)</f>
        <v>43843</v>
      </c>
      <c r="C18" s="813">
        <f t="shared" si="1"/>
        <v>365173</v>
      </c>
      <c r="D18" s="813">
        <f t="shared" si="1"/>
        <v>74461</v>
      </c>
      <c r="E18" s="810">
        <f t="shared" si="1"/>
        <v>17250</v>
      </c>
      <c r="F18" s="810">
        <f t="shared" si="1"/>
        <v>7408</v>
      </c>
      <c r="G18" s="811">
        <f t="shared" si="1"/>
        <v>508135</v>
      </c>
      <c r="H18" s="671"/>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c r="AG18" s="808"/>
      <c r="AH18" s="808"/>
      <c r="AI18" s="808"/>
      <c r="AJ18" s="808"/>
      <c r="AK18" s="808"/>
      <c r="AL18" s="808"/>
    </row>
    <row r="19" spans="2:38" s="807" customFormat="1" ht="15" customHeight="1" thickTop="1">
      <c r="B19" s="804"/>
      <c r="C19" s="804"/>
      <c r="D19" s="804"/>
      <c r="E19" s="805"/>
      <c r="F19" s="805"/>
      <c r="G19" s="335"/>
      <c r="H19" s="814"/>
      <c r="I19" s="808"/>
      <c r="J19" s="808"/>
      <c r="K19" s="808"/>
      <c r="L19" s="808"/>
      <c r="M19" s="808"/>
      <c r="N19" s="808"/>
      <c r="O19" s="808"/>
      <c r="P19" s="808"/>
      <c r="Q19" s="808"/>
      <c r="R19" s="808"/>
      <c r="S19" s="808"/>
      <c r="T19" s="808"/>
      <c r="U19" s="808"/>
      <c r="V19" s="808"/>
      <c r="W19" s="808"/>
      <c r="X19" s="808"/>
      <c r="Y19" s="808"/>
      <c r="Z19" s="808"/>
      <c r="AA19" s="808"/>
      <c r="AB19" s="808"/>
      <c r="AC19" s="808"/>
      <c r="AD19" s="808"/>
      <c r="AE19" s="808"/>
      <c r="AF19" s="808"/>
      <c r="AG19" s="808"/>
      <c r="AH19" s="808"/>
      <c r="AI19" s="808"/>
      <c r="AJ19" s="808"/>
      <c r="AK19" s="808"/>
      <c r="AL19" s="808"/>
    </row>
    <row r="20" spans="1:38" s="807" customFormat="1" ht="30" customHeight="1">
      <c r="A20" s="812" t="s">
        <v>474</v>
      </c>
      <c r="B20" s="815"/>
      <c r="C20" s="815"/>
      <c r="D20" s="815"/>
      <c r="E20" s="816"/>
      <c r="F20" s="816"/>
      <c r="G20" s="671"/>
      <c r="H20" s="805"/>
      <c r="I20" s="808"/>
      <c r="J20" s="808"/>
      <c r="K20" s="808"/>
      <c r="L20" s="808"/>
      <c r="M20" s="808"/>
      <c r="N20" s="808"/>
      <c r="O20" s="808"/>
      <c r="P20" s="808"/>
      <c r="Q20" s="808"/>
      <c r="R20" s="808"/>
      <c r="S20" s="808"/>
      <c r="T20" s="808"/>
      <c r="U20" s="808"/>
      <c r="V20" s="808"/>
      <c r="W20" s="808"/>
      <c r="X20" s="808"/>
      <c r="Y20" s="808"/>
      <c r="Z20" s="808"/>
      <c r="AA20" s="808"/>
      <c r="AB20" s="808"/>
      <c r="AC20" s="808"/>
      <c r="AD20" s="808"/>
      <c r="AE20" s="808"/>
      <c r="AF20" s="808"/>
      <c r="AG20" s="808"/>
      <c r="AH20" s="808"/>
      <c r="AI20" s="808"/>
      <c r="AJ20" s="808"/>
      <c r="AK20" s="808"/>
      <c r="AL20" s="808"/>
    </row>
    <row r="21" spans="1:38" s="807" customFormat="1" ht="15" customHeight="1">
      <c r="A21" s="20" t="s">
        <v>202</v>
      </c>
      <c r="B21" s="804">
        <v>0</v>
      </c>
      <c r="C21" s="804">
        <v>353312</v>
      </c>
      <c r="D21" s="804">
        <v>142716</v>
      </c>
      <c r="E21" s="804">
        <v>12906</v>
      </c>
      <c r="F21" s="804">
        <v>22292</v>
      </c>
      <c r="G21" s="805">
        <f>SUM(B21:F21)</f>
        <v>531226</v>
      </c>
      <c r="H21" s="805"/>
      <c r="I21" s="808"/>
      <c r="J21" s="808"/>
      <c r="K21" s="808"/>
      <c r="L21" s="808"/>
      <c r="M21" s="808"/>
      <c r="N21" s="808"/>
      <c r="O21" s="808"/>
      <c r="P21" s="808"/>
      <c r="Q21" s="808"/>
      <c r="R21" s="808"/>
      <c r="S21" s="808"/>
      <c r="T21" s="808"/>
      <c r="U21" s="808"/>
      <c r="V21" s="808"/>
      <c r="W21" s="808"/>
      <c r="X21" s="808"/>
      <c r="Y21" s="808"/>
      <c r="Z21" s="808"/>
      <c r="AA21" s="808"/>
      <c r="AB21" s="808"/>
      <c r="AC21" s="808"/>
      <c r="AD21" s="808"/>
      <c r="AE21" s="808"/>
      <c r="AF21" s="808"/>
      <c r="AG21" s="808"/>
      <c r="AH21" s="808"/>
      <c r="AI21" s="808"/>
      <c r="AJ21" s="808"/>
      <c r="AK21" s="808"/>
      <c r="AL21" s="808"/>
    </row>
    <row r="22" spans="1:38" s="807" customFormat="1" ht="15" customHeight="1">
      <c r="A22" s="807" t="s">
        <v>225</v>
      </c>
      <c r="B22" s="804">
        <v>0</v>
      </c>
      <c r="C22" s="804">
        <v>13701</v>
      </c>
      <c r="D22" s="804">
        <v>19513</v>
      </c>
      <c r="E22" s="804">
        <v>18624</v>
      </c>
      <c r="F22" s="804">
        <v>1868</v>
      </c>
      <c r="G22" s="805">
        <f>SUM(B22:F22)</f>
        <v>53706</v>
      </c>
      <c r="H22" s="805"/>
      <c r="I22" s="808"/>
      <c r="J22" s="808"/>
      <c r="K22" s="808"/>
      <c r="L22" s="808"/>
      <c r="M22" s="808"/>
      <c r="N22" s="808"/>
      <c r="O22" s="808"/>
      <c r="P22" s="808"/>
      <c r="Q22" s="808"/>
      <c r="R22" s="808"/>
      <c r="S22" s="808"/>
      <c r="T22" s="808"/>
      <c r="U22" s="808"/>
      <c r="V22" s="808"/>
      <c r="W22" s="808"/>
      <c r="X22" s="808"/>
      <c r="Y22" s="808"/>
      <c r="Z22" s="808"/>
      <c r="AA22" s="808"/>
      <c r="AB22" s="808"/>
      <c r="AC22" s="808"/>
      <c r="AD22" s="808"/>
      <c r="AE22" s="808"/>
      <c r="AF22" s="808"/>
      <c r="AG22" s="808"/>
      <c r="AH22" s="808"/>
      <c r="AI22" s="808"/>
      <c r="AJ22" s="808"/>
      <c r="AK22" s="808"/>
      <c r="AL22" s="808"/>
    </row>
    <row r="23" spans="1:38" s="807" customFormat="1" ht="15" customHeight="1">
      <c r="A23" s="807" t="s">
        <v>204</v>
      </c>
      <c r="B23" s="804">
        <v>0</v>
      </c>
      <c r="C23" s="804">
        <v>0</v>
      </c>
      <c r="D23" s="804">
        <v>146</v>
      </c>
      <c r="E23" s="804">
        <v>0</v>
      </c>
      <c r="F23" s="804">
        <v>0</v>
      </c>
      <c r="G23" s="805">
        <f>SUM(B23:F23)</f>
        <v>146</v>
      </c>
      <c r="H23" s="805"/>
      <c r="I23" s="808"/>
      <c r="J23" s="808"/>
      <c r="K23" s="808"/>
      <c r="L23" s="808"/>
      <c r="M23" s="808"/>
      <c r="N23" s="808"/>
      <c r="O23" s="808"/>
      <c r="P23" s="808"/>
      <c r="Q23" s="808"/>
      <c r="R23" s="808"/>
      <c r="S23" s="808"/>
      <c r="T23" s="808"/>
      <c r="U23" s="808"/>
      <c r="V23" s="808"/>
      <c r="W23" s="808"/>
      <c r="X23" s="808"/>
      <c r="Y23" s="808"/>
      <c r="Z23" s="808"/>
      <c r="AA23" s="808"/>
      <c r="AB23" s="808"/>
      <c r="AC23" s="808"/>
      <c r="AD23" s="808"/>
      <c r="AE23" s="808"/>
      <c r="AF23" s="808"/>
      <c r="AG23" s="808"/>
      <c r="AH23" s="808"/>
      <c r="AI23" s="808"/>
      <c r="AJ23" s="808"/>
      <c r="AK23" s="808"/>
      <c r="AL23" s="808"/>
    </row>
    <row r="24" spans="1:38" s="807" customFormat="1" ht="15" customHeight="1" thickBot="1">
      <c r="A24" s="809" t="s">
        <v>205</v>
      </c>
      <c r="B24" s="813">
        <f aca="true" t="shared" si="2" ref="B24:G24">SUM(B21:B23)</f>
        <v>0</v>
      </c>
      <c r="C24" s="813">
        <f t="shared" si="2"/>
        <v>367013</v>
      </c>
      <c r="D24" s="813">
        <f>SUM(D21:D23)</f>
        <v>162375</v>
      </c>
      <c r="E24" s="810">
        <f t="shared" si="2"/>
        <v>31530</v>
      </c>
      <c r="F24" s="810">
        <f t="shared" si="2"/>
        <v>24160</v>
      </c>
      <c r="G24" s="811">
        <f t="shared" si="2"/>
        <v>585078</v>
      </c>
      <c r="H24" s="671"/>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row>
    <row r="25" spans="2:38" s="817" customFormat="1" ht="15" customHeight="1" thickTop="1">
      <c r="B25" s="815"/>
      <c r="C25" s="815"/>
      <c r="D25" s="815"/>
      <c r="E25" s="815"/>
      <c r="F25" s="815"/>
      <c r="G25" s="815"/>
      <c r="H25" s="714"/>
      <c r="I25" s="818"/>
      <c r="J25" s="818"/>
      <c r="K25" s="818"/>
      <c r="L25" s="818"/>
      <c r="M25" s="818"/>
      <c r="N25" s="818"/>
      <c r="O25" s="818"/>
      <c r="P25" s="818"/>
      <c r="Q25" s="818"/>
      <c r="R25" s="818"/>
      <c r="S25" s="818"/>
      <c r="T25" s="818"/>
      <c r="U25" s="818"/>
      <c r="V25" s="818"/>
      <c r="W25" s="818"/>
      <c r="X25" s="818"/>
      <c r="Y25" s="818"/>
      <c r="Z25" s="818"/>
      <c r="AA25" s="818"/>
      <c r="AB25" s="818"/>
      <c r="AC25" s="818"/>
      <c r="AD25" s="818"/>
      <c r="AE25" s="818"/>
      <c r="AF25" s="818"/>
      <c r="AG25" s="818"/>
      <c r="AH25" s="818"/>
      <c r="AI25" s="818"/>
      <c r="AJ25" s="818"/>
      <c r="AK25" s="818"/>
      <c r="AL25" s="818"/>
    </row>
    <row r="26" spans="1:38" s="807" customFormat="1" ht="30" customHeight="1">
      <c r="A26" s="812" t="s">
        <v>262</v>
      </c>
      <c r="B26" s="804"/>
      <c r="C26" s="804"/>
      <c r="D26" s="804"/>
      <c r="E26" s="804"/>
      <c r="F26" s="804"/>
      <c r="G26" s="804"/>
      <c r="H26" s="805"/>
      <c r="I26" s="808"/>
      <c r="J26" s="808"/>
      <c r="K26" s="808"/>
      <c r="L26" s="808"/>
      <c r="M26" s="808"/>
      <c r="N26" s="808"/>
      <c r="O26" s="808"/>
      <c r="P26" s="808"/>
      <c r="Q26" s="808"/>
      <c r="R26" s="808"/>
      <c r="S26" s="808"/>
      <c r="T26" s="808"/>
      <c r="U26" s="808"/>
      <c r="V26" s="808"/>
      <c r="W26" s="808"/>
      <c r="X26" s="808"/>
      <c r="Y26" s="808"/>
      <c r="Z26" s="808"/>
      <c r="AA26" s="808"/>
      <c r="AB26" s="808"/>
      <c r="AC26" s="808"/>
      <c r="AD26" s="808"/>
      <c r="AE26" s="808"/>
      <c r="AF26" s="808"/>
      <c r="AG26" s="808"/>
      <c r="AH26" s="808"/>
      <c r="AI26" s="808"/>
      <c r="AJ26" s="808"/>
      <c r="AK26" s="808"/>
      <c r="AL26" s="808"/>
    </row>
    <row r="27" spans="1:38" s="807" customFormat="1" ht="15" customHeight="1">
      <c r="A27" s="807" t="s">
        <v>202</v>
      </c>
      <c r="B27" s="805">
        <f aca="true" t="shared" si="3" ref="B27:F29">B9+B15-B21</f>
        <v>42597</v>
      </c>
      <c r="C27" s="805">
        <f t="shared" si="3"/>
        <v>252562</v>
      </c>
      <c r="D27" s="805">
        <f>D9+D15-D21</f>
        <v>1677</v>
      </c>
      <c r="E27" s="819">
        <f>E9+E15-E21</f>
        <v>-7262</v>
      </c>
      <c r="F27" s="819">
        <f t="shared" si="3"/>
        <v>-14529</v>
      </c>
      <c r="G27" s="805">
        <f>SUM(B27:F27)</f>
        <v>275045</v>
      </c>
      <c r="H27" s="805"/>
      <c r="I27" s="808"/>
      <c r="J27" s="808"/>
      <c r="K27" s="808"/>
      <c r="L27" s="808"/>
      <c r="M27" s="808"/>
      <c r="N27" s="808"/>
      <c r="O27" s="808"/>
      <c r="P27" s="808"/>
      <c r="Q27" s="808"/>
      <c r="R27" s="808"/>
      <c r="S27" s="808"/>
      <c r="T27" s="808"/>
      <c r="U27" s="808"/>
      <c r="V27" s="808"/>
      <c r="W27" s="808"/>
      <c r="X27" s="808"/>
      <c r="Y27" s="808"/>
      <c r="Z27" s="808"/>
      <c r="AA27" s="808"/>
      <c r="AB27" s="808"/>
      <c r="AC27" s="808"/>
      <c r="AD27" s="808"/>
      <c r="AE27" s="808"/>
      <c r="AF27" s="808"/>
      <c r="AG27" s="808"/>
      <c r="AH27" s="808"/>
      <c r="AI27" s="808"/>
      <c r="AJ27" s="808"/>
      <c r="AK27" s="808"/>
      <c r="AL27" s="808"/>
    </row>
    <row r="28" spans="1:38" s="807" customFormat="1" ht="15" customHeight="1">
      <c r="A28" s="807" t="s">
        <v>203</v>
      </c>
      <c r="B28" s="805">
        <f>B10+B16-B22</f>
        <v>1499</v>
      </c>
      <c r="C28" s="805">
        <f>C10+C16-C22</f>
        <v>51071</v>
      </c>
      <c r="D28" s="805">
        <f>D10+D16-D22</f>
        <v>19571</v>
      </c>
      <c r="E28" s="819">
        <f t="shared" si="3"/>
        <v>-907</v>
      </c>
      <c r="F28" s="819">
        <f t="shared" si="3"/>
        <v>-334</v>
      </c>
      <c r="G28" s="805">
        <f>SUM(B28:F28)</f>
        <v>70900</v>
      </c>
      <c r="H28" s="805"/>
      <c r="I28" s="808"/>
      <c r="J28" s="808"/>
      <c r="K28" s="808"/>
      <c r="L28" s="808"/>
      <c r="M28" s="808"/>
      <c r="N28" s="808"/>
      <c r="O28" s="808"/>
      <c r="P28" s="808"/>
      <c r="Q28" s="808"/>
      <c r="R28" s="808"/>
      <c r="S28" s="808"/>
      <c r="T28" s="808"/>
      <c r="U28" s="808"/>
      <c r="V28" s="808"/>
      <c r="W28" s="808"/>
      <c r="X28" s="808"/>
      <c r="Y28" s="808"/>
      <c r="Z28" s="808"/>
      <c r="AA28" s="808"/>
      <c r="AB28" s="808"/>
      <c r="AC28" s="808"/>
      <c r="AD28" s="808"/>
      <c r="AE28" s="808"/>
      <c r="AF28" s="808"/>
      <c r="AG28" s="808"/>
      <c r="AH28" s="808"/>
      <c r="AI28" s="808"/>
      <c r="AJ28" s="808"/>
      <c r="AK28" s="808"/>
      <c r="AL28" s="808"/>
    </row>
    <row r="29" spans="1:38" s="807" customFormat="1" ht="15" customHeight="1">
      <c r="A29" s="807" t="s">
        <v>204</v>
      </c>
      <c r="B29" s="805">
        <f t="shared" si="3"/>
        <v>0</v>
      </c>
      <c r="C29" s="805">
        <f>C11+C17-C23</f>
        <v>0</v>
      </c>
      <c r="D29" s="805">
        <f t="shared" si="3"/>
        <v>471</v>
      </c>
      <c r="E29" s="805">
        <f t="shared" si="3"/>
        <v>0</v>
      </c>
      <c r="F29" s="805">
        <f t="shared" si="3"/>
        <v>0</v>
      </c>
      <c r="G29" s="805">
        <f>SUM(B29:F29)</f>
        <v>471</v>
      </c>
      <c r="H29" s="805"/>
      <c r="I29" s="808"/>
      <c r="J29" s="808"/>
      <c r="K29" s="808"/>
      <c r="L29" s="808"/>
      <c r="M29" s="808"/>
      <c r="N29" s="808"/>
      <c r="O29" s="808"/>
      <c r="P29" s="808"/>
      <c r="Q29" s="808"/>
      <c r="R29" s="808"/>
      <c r="S29" s="808"/>
      <c r="T29" s="808"/>
      <c r="U29" s="808"/>
      <c r="V29" s="808"/>
      <c r="W29" s="808"/>
      <c r="X29" s="808"/>
      <c r="Y29" s="808"/>
      <c r="Z29" s="808"/>
      <c r="AA29" s="808"/>
      <c r="AB29" s="808"/>
      <c r="AC29" s="808"/>
      <c r="AD29" s="808"/>
      <c r="AE29" s="808"/>
      <c r="AF29" s="808"/>
      <c r="AG29" s="808"/>
      <c r="AH29" s="808"/>
      <c r="AI29" s="808"/>
      <c r="AJ29" s="808"/>
      <c r="AK29" s="808"/>
      <c r="AL29" s="808"/>
    </row>
    <row r="30" spans="1:38" s="20" customFormat="1" ht="15" customHeight="1" thickBot="1">
      <c r="A30" s="820" t="s">
        <v>205</v>
      </c>
      <c r="B30" s="821">
        <f aca="true" t="shared" si="4" ref="B30:G30">SUM(B27:B29)</f>
        <v>44096</v>
      </c>
      <c r="C30" s="821">
        <f t="shared" si="4"/>
        <v>303633</v>
      </c>
      <c r="D30" s="821">
        <f t="shared" si="4"/>
        <v>21719</v>
      </c>
      <c r="E30" s="822">
        <f t="shared" si="4"/>
        <v>-8169</v>
      </c>
      <c r="F30" s="822">
        <f t="shared" si="4"/>
        <v>-14863</v>
      </c>
      <c r="G30" s="821">
        <f t="shared" si="4"/>
        <v>346416</v>
      </c>
      <c r="H30" s="805"/>
      <c r="I30" s="806"/>
      <c r="J30" s="806"/>
      <c r="K30" s="806"/>
      <c r="L30" s="806"/>
      <c r="M30" s="806"/>
      <c r="N30" s="806"/>
      <c r="O30" s="806"/>
      <c r="P30" s="806"/>
      <c r="Q30" s="806"/>
      <c r="R30" s="806"/>
      <c r="S30" s="806"/>
      <c r="T30" s="806"/>
      <c r="U30" s="806"/>
      <c r="V30" s="806"/>
      <c r="W30" s="806"/>
      <c r="X30" s="806"/>
      <c r="Y30" s="806"/>
      <c r="Z30" s="806"/>
      <c r="AA30" s="806"/>
      <c r="AB30" s="806"/>
      <c r="AC30" s="806"/>
      <c r="AD30" s="806"/>
      <c r="AE30" s="806"/>
      <c r="AF30" s="806"/>
      <c r="AG30" s="806"/>
      <c r="AH30" s="806"/>
      <c r="AI30" s="806"/>
      <c r="AJ30" s="806"/>
      <c r="AK30" s="806"/>
      <c r="AL30" s="806"/>
    </row>
    <row r="31" spans="7:39" ht="15" customHeight="1" thickTop="1">
      <c r="G31" s="788"/>
      <c r="I31" s="790"/>
      <c r="J31" s="789"/>
      <c r="K31" s="789"/>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row>
    <row r="32" spans="2:39" s="776" customFormat="1" ht="15" customHeight="1">
      <c r="B32" s="787"/>
      <c r="C32" s="787"/>
      <c r="D32" s="787"/>
      <c r="H32" s="788"/>
      <c r="I32" s="788"/>
      <c r="J32" s="788"/>
      <c r="K32" s="788"/>
      <c r="L32" s="788"/>
      <c r="M32" s="788"/>
      <c r="N32" s="788"/>
      <c r="O32" s="788"/>
      <c r="P32" s="788"/>
      <c r="Q32" s="788"/>
      <c r="R32" s="788"/>
      <c r="S32" s="788"/>
      <c r="T32" s="788"/>
      <c r="U32" s="788"/>
      <c r="V32" s="788"/>
      <c r="W32" s="788"/>
      <c r="X32" s="788"/>
      <c r="Y32" s="788"/>
      <c r="Z32" s="788"/>
      <c r="AA32" s="788"/>
      <c r="AB32" s="788"/>
      <c r="AC32" s="788"/>
      <c r="AD32" s="788"/>
      <c r="AE32" s="788"/>
      <c r="AF32" s="788"/>
      <c r="AG32" s="788"/>
      <c r="AH32" s="788"/>
      <c r="AI32" s="788"/>
      <c r="AJ32" s="788"/>
      <c r="AK32" s="788"/>
      <c r="AL32" s="788"/>
      <c r="AM32" s="788"/>
    </row>
    <row r="33" spans="7:39" ht="15" customHeight="1">
      <c r="G33" s="788"/>
      <c r="H33" s="788"/>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c r="AH33" s="789"/>
      <c r="AI33" s="789"/>
      <c r="AJ33" s="789"/>
      <c r="AK33" s="789"/>
      <c r="AL33" s="789"/>
      <c r="AM33" s="789"/>
    </row>
    <row r="34" spans="7:39" ht="15" customHeight="1">
      <c r="G34" s="788"/>
      <c r="H34" s="788"/>
      <c r="I34" s="789"/>
      <c r="J34" s="789"/>
      <c r="K34" s="789"/>
      <c r="L34" s="789"/>
      <c r="M34" s="789"/>
      <c r="N34" s="789"/>
      <c r="O34" s="789"/>
      <c r="P34" s="789"/>
      <c r="Q34" s="789"/>
      <c r="R34" s="789"/>
      <c r="S34" s="789"/>
      <c r="T34" s="789"/>
      <c r="U34" s="789"/>
      <c r="V34" s="789"/>
      <c r="W34" s="789"/>
      <c r="X34" s="789"/>
      <c r="Y34" s="789"/>
      <c r="Z34" s="789"/>
      <c r="AA34" s="789"/>
      <c r="AB34" s="789"/>
      <c r="AC34" s="789"/>
      <c r="AD34" s="789"/>
      <c r="AE34" s="789"/>
      <c r="AF34" s="789"/>
      <c r="AG34" s="789"/>
      <c r="AH34" s="789"/>
      <c r="AI34" s="789"/>
      <c r="AJ34" s="789"/>
      <c r="AK34" s="789"/>
      <c r="AL34" s="789"/>
      <c r="AM34" s="789"/>
    </row>
    <row r="35" spans="7:39" ht="15" customHeight="1">
      <c r="G35" s="788"/>
      <c r="H35" s="788"/>
      <c r="I35" s="789"/>
      <c r="J35" s="789"/>
      <c r="K35" s="789"/>
      <c r="L35" s="789"/>
      <c r="M35" s="789"/>
      <c r="N35" s="789"/>
      <c r="O35" s="789"/>
      <c r="P35" s="789"/>
      <c r="Q35" s="789"/>
      <c r="R35" s="789"/>
      <c r="S35" s="789"/>
      <c r="T35" s="789"/>
      <c r="U35" s="789"/>
      <c r="V35" s="789"/>
      <c r="W35" s="789"/>
      <c r="X35" s="789"/>
      <c r="Y35" s="789"/>
      <c r="Z35" s="789"/>
      <c r="AA35" s="789"/>
      <c r="AB35" s="789"/>
      <c r="AC35" s="789"/>
      <c r="AD35" s="789"/>
      <c r="AE35" s="789"/>
      <c r="AF35" s="789"/>
      <c r="AG35" s="789"/>
      <c r="AH35" s="789"/>
      <c r="AI35" s="789"/>
      <c r="AJ35" s="789"/>
      <c r="AK35" s="789"/>
      <c r="AL35" s="789"/>
      <c r="AM35" s="789"/>
    </row>
    <row r="36" spans="7:39" ht="15" customHeight="1">
      <c r="G36" s="788"/>
      <c r="H36" s="788"/>
      <c r="I36" s="789"/>
      <c r="J36" s="789"/>
      <c r="K36" s="789"/>
      <c r="L36" s="789"/>
      <c r="M36" s="789"/>
      <c r="N36" s="789"/>
      <c r="O36" s="789"/>
      <c r="P36" s="789"/>
      <c r="Q36" s="789"/>
      <c r="R36" s="789"/>
      <c r="S36" s="789"/>
      <c r="T36" s="789"/>
      <c r="U36" s="789"/>
      <c r="V36" s="789"/>
      <c r="W36" s="789"/>
      <c r="X36" s="789"/>
      <c r="Y36" s="789"/>
      <c r="Z36" s="789"/>
      <c r="AA36" s="789"/>
      <c r="AB36" s="789"/>
      <c r="AC36" s="789"/>
      <c r="AD36" s="789"/>
      <c r="AE36" s="789"/>
      <c r="AF36" s="789"/>
      <c r="AG36" s="789"/>
      <c r="AH36" s="789"/>
      <c r="AI36" s="789"/>
      <c r="AJ36" s="789"/>
      <c r="AK36" s="789"/>
      <c r="AL36" s="789"/>
      <c r="AM36" s="789"/>
    </row>
    <row r="37" spans="7:39" ht="15" customHeight="1">
      <c r="G37" s="788"/>
      <c r="H37" s="788"/>
      <c r="I37" s="789"/>
      <c r="J37" s="789"/>
      <c r="K37" s="789"/>
      <c r="L37" s="789"/>
      <c r="M37" s="789"/>
      <c r="N37" s="789"/>
      <c r="O37" s="789"/>
      <c r="P37" s="789"/>
      <c r="Q37" s="789"/>
      <c r="R37" s="789"/>
      <c r="S37" s="789"/>
      <c r="T37" s="789"/>
      <c r="U37" s="789"/>
      <c r="V37" s="789"/>
      <c r="W37" s="789"/>
      <c r="X37" s="789"/>
      <c r="Y37" s="789"/>
      <c r="Z37" s="789"/>
      <c r="AA37" s="789"/>
      <c r="AB37" s="789"/>
      <c r="AC37" s="789"/>
      <c r="AD37" s="789"/>
      <c r="AE37" s="789"/>
      <c r="AF37" s="789"/>
      <c r="AG37" s="789"/>
      <c r="AH37" s="789"/>
      <c r="AI37" s="789"/>
      <c r="AJ37" s="789"/>
      <c r="AK37" s="789"/>
      <c r="AL37" s="789"/>
      <c r="AM37" s="789"/>
    </row>
    <row r="38" spans="7:39" ht="15" customHeight="1">
      <c r="G38" s="788"/>
      <c r="H38" s="788"/>
      <c r="I38" s="789"/>
      <c r="J38" s="789"/>
      <c r="K38" s="789"/>
      <c r="L38" s="789"/>
      <c r="M38" s="789"/>
      <c r="N38" s="789"/>
      <c r="O38" s="789"/>
      <c r="P38" s="789"/>
      <c r="Q38" s="789"/>
      <c r="R38" s="789"/>
      <c r="S38" s="789"/>
      <c r="T38" s="789"/>
      <c r="U38" s="789"/>
      <c r="V38" s="789"/>
      <c r="W38" s="789"/>
      <c r="X38" s="789"/>
      <c r="Y38" s="789"/>
      <c r="Z38" s="789"/>
      <c r="AA38" s="789"/>
      <c r="AB38" s="789"/>
      <c r="AC38" s="789"/>
      <c r="AD38" s="789"/>
      <c r="AE38" s="789"/>
      <c r="AF38" s="789"/>
      <c r="AG38" s="789"/>
      <c r="AH38" s="789"/>
      <c r="AI38" s="789"/>
      <c r="AJ38" s="789"/>
      <c r="AK38" s="789"/>
      <c r="AL38" s="789"/>
      <c r="AM38" s="789"/>
    </row>
    <row r="39" spans="7:39" ht="15" customHeight="1">
      <c r="G39" s="788"/>
      <c r="H39" s="788"/>
      <c r="I39" s="789"/>
      <c r="J39" s="789"/>
      <c r="K39" s="789"/>
      <c r="L39" s="789"/>
      <c r="M39" s="789"/>
      <c r="N39" s="789"/>
      <c r="O39" s="789"/>
      <c r="P39" s="789"/>
      <c r="Q39" s="789"/>
      <c r="R39" s="789"/>
      <c r="S39" s="789"/>
      <c r="T39" s="789"/>
      <c r="U39" s="789"/>
      <c r="V39" s="789"/>
      <c r="W39" s="789"/>
      <c r="X39" s="789"/>
      <c r="Y39" s="789"/>
      <c r="Z39" s="789"/>
      <c r="AA39" s="789"/>
      <c r="AB39" s="789"/>
      <c r="AC39" s="789"/>
      <c r="AD39" s="789"/>
      <c r="AE39" s="789"/>
      <c r="AF39" s="789"/>
      <c r="AG39" s="789"/>
      <c r="AH39" s="789"/>
      <c r="AI39" s="789"/>
      <c r="AJ39" s="789"/>
      <c r="AK39" s="789"/>
      <c r="AL39" s="789"/>
      <c r="AM39" s="789"/>
    </row>
    <row r="40" spans="7:39" ht="15" customHeight="1">
      <c r="G40" s="788"/>
      <c r="H40" s="788"/>
      <c r="I40" s="789"/>
      <c r="J40" s="789"/>
      <c r="K40" s="789"/>
      <c r="L40" s="789"/>
      <c r="M40" s="789"/>
      <c r="N40" s="789"/>
      <c r="O40" s="789"/>
      <c r="P40" s="789"/>
      <c r="Q40" s="789"/>
      <c r="R40" s="789"/>
      <c r="S40" s="789"/>
      <c r="T40" s="789"/>
      <c r="U40" s="789"/>
      <c r="V40" s="789"/>
      <c r="W40" s="789"/>
      <c r="X40" s="789"/>
      <c r="Y40" s="789"/>
      <c r="Z40" s="789"/>
      <c r="AA40" s="789"/>
      <c r="AB40" s="789"/>
      <c r="AC40" s="789"/>
      <c r="AD40" s="789"/>
      <c r="AE40" s="789"/>
      <c r="AF40" s="789"/>
      <c r="AG40" s="789"/>
      <c r="AH40" s="789"/>
      <c r="AI40" s="789"/>
      <c r="AJ40" s="789"/>
      <c r="AK40" s="789"/>
      <c r="AL40" s="789"/>
      <c r="AM40" s="789"/>
    </row>
    <row r="41" spans="7:39" ht="15" customHeight="1">
      <c r="G41" s="788"/>
      <c r="H41" s="788"/>
      <c r="I41" s="789"/>
      <c r="J41" s="789"/>
      <c r="K41" s="789"/>
      <c r="L41" s="789"/>
      <c r="M41" s="789"/>
      <c r="N41" s="789"/>
      <c r="O41" s="789"/>
      <c r="P41" s="789"/>
      <c r="Q41" s="789"/>
      <c r="R41" s="789"/>
      <c r="S41" s="789"/>
      <c r="T41" s="789"/>
      <c r="U41" s="789"/>
      <c r="V41" s="789"/>
      <c r="W41" s="789"/>
      <c r="X41" s="789"/>
      <c r="Y41" s="789"/>
      <c r="Z41" s="789"/>
      <c r="AA41" s="789"/>
      <c r="AB41" s="789"/>
      <c r="AC41" s="789"/>
      <c r="AD41" s="789"/>
      <c r="AE41" s="789"/>
      <c r="AF41" s="789"/>
      <c r="AG41" s="789"/>
      <c r="AH41" s="789"/>
      <c r="AI41" s="789"/>
      <c r="AJ41" s="789"/>
      <c r="AK41" s="789"/>
      <c r="AL41" s="789"/>
      <c r="AM41" s="789"/>
    </row>
    <row r="42" spans="7:39" ht="15" customHeight="1">
      <c r="G42" s="788"/>
      <c r="H42" s="788"/>
      <c r="I42" s="789"/>
      <c r="J42" s="789"/>
      <c r="K42" s="789"/>
      <c r="L42" s="789"/>
      <c r="M42" s="789"/>
      <c r="N42" s="789"/>
      <c r="O42" s="789"/>
      <c r="P42" s="789"/>
      <c r="Q42" s="789"/>
      <c r="R42" s="789"/>
      <c r="S42" s="789"/>
      <c r="T42" s="789"/>
      <c r="U42" s="789"/>
      <c r="V42" s="789"/>
      <c r="W42" s="789"/>
      <c r="X42" s="789"/>
      <c r="Y42" s="789"/>
      <c r="Z42" s="789"/>
      <c r="AA42" s="789"/>
      <c r="AB42" s="789"/>
      <c r="AC42" s="789"/>
      <c r="AD42" s="789"/>
      <c r="AE42" s="789"/>
      <c r="AF42" s="789"/>
      <c r="AG42" s="789"/>
      <c r="AH42" s="789"/>
      <c r="AI42" s="789"/>
      <c r="AJ42" s="789"/>
      <c r="AK42" s="789"/>
      <c r="AL42" s="789"/>
      <c r="AM42" s="789"/>
    </row>
    <row r="43" spans="7:39" ht="15" customHeight="1">
      <c r="G43" s="788"/>
      <c r="H43" s="788"/>
      <c r="I43" s="789"/>
      <c r="J43" s="789"/>
      <c r="K43" s="789"/>
      <c r="L43" s="789"/>
      <c r="M43" s="789"/>
      <c r="N43" s="789"/>
      <c r="O43" s="789"/>
      <c r="P43" s="789"/>
      <c r="Q43" s="789"/>
      <c r="R43" s="789"/>
      <c r="S43" s="789"/>
      <c r="T43" s="789"/>
      <c r="U43" s="789"/>
      <c r="V43" s="789"/>
      <c r="W43" s="789"/>
      <c r="X43" s="789"/>
      <c r="Y43" s="789"/>
      <c r="Z43" s="789"/>
      <c r="AA43" s="789"/>
      <c r="AB43" s="789"/>
      <c r="AC43" s="789"/>
      <c r="AD43" s="789"/>
      <c r="AE43" s="789"/>
      <c r="AF43" s="789"/>
      <c r="AG43" s="789"/>
      <c r="AH43" s="789"/>
      <c r="AI43" s="789"/>
      <c r="AJ43" s="789"/>
      <c r="AK43" s="789"/>
      <c r="AL43" s="789"/>
      <c r="AM43" s="789"/>
    </row>
    <row r="44" spans="7:39" ht="15" customHeight="1">
      <c r="G44" s="788"/>
      <c r="H44" s="788"/>
      <c r="I44" s="789"/>
      <c r="J44" s="789"/>
      <c r="K44" s="789"/>
      <c r="L44" s="789"/>
      <c r="M44" s="789"/>
      <c r="N44" s="789"/>
      <c r="O44" s="789"/>
      <c r="P44" s="789"/>
      <c r="Q44" s="789"/>
      <c r="R44" s="789"/>
      <c r="S44" s="789"/>
      <c r="T44" s="789"/>
      <c r="U44" s="789"/>
      <c r="V44" s="789"/>
      <c r="W44" s="789"/>
      <c r="X44" s="789"/>
      <c r="Y44" s="789"/>
      <c r="Z44" s="789"/>
      <c r="AA44" s="789"/>
      <c r="AB44" s="789"/>
      <c r="AC44" s="789"/>
      <c r="AD44" s="789"/>
      <c r="AE44" s="789"/>
      <c r="AF44" s="789"/>
      <c r="AG44" s="789"/>
      <c r="AH44" s="789"/>
      <c r="AI44" s="789"/>
      <c r="AJ44" s="789"/>
      <c r="AK44" s="789"/>
      <c r="AL44" s="789"/>
      <c r="AM44" s="789"/>
    </row>
    <row r="45" spans="7:39" ht="15" customHeight="1">
      <c r="G45" s="788"/>
      <c r="H45" s="788"/>
      <c r="I45" s="789"/>
      <c r="J45" s="789"/>
      <c r="K45" s="789"/>
      <c r="L45" s="789"/>
      <c r="M45" s="789"/>
      <c r="N45" s="789"/>
      <c r="O45" s="789"/>
      <c r="P45" s="789"/>
      <c r="Q45" s="789"/>
      <c r="R45" s="789"/>
      <c r="S45" s="789"/>
      <c r="T45" s="789"/>
      <c r="U45" s="789"/>
      <c r="V45" s="789"/>
      <c r="W45" s="789"/>
      <c r="X45" s="789"/>
      <c r="Y45" s="789"/>
      <c r="Z45" s="789"/>
      <c r="AA45" s="789"/>
      <c r="AB45" s="789"/>
      <c r="AC45" s="789"/>
      <c r="AD45" s="789"/>
      <c r="AE45" s="789"/>
      <c r="AF45" s="789"/>
      <c r="AG45" s="789"/>
      <c r="AH45" s="789"/>
      <c r="AI45" s="789"/>
      <c r="AJ45" s="789"/>
      <c r="AK45" s="789"/>
      <c r="AL45" s="789"/>
      <c r="AM45" s="789"/>
    </row>
    <row r="46" spans="7:39" ht="15" customHeight="1">
      <c r="G46" s="788"/>
      <c r="H46" s="788"/>
      <c r="I46" s="789"/>
      <c r="J46" s="789"/>
      <c r="K46" s="789"/>
      <c r="L46" s="789"/>
      <c r="M46" s="789"/>
      <c r="N46" s="789"/>
      <c r="O46" s="789"/>
      <c r="P46" s="789"/>
      <c r="Q46" s="789"/>
      <c r="R46" s="789"/>
      <c r="S46" s="789"/>
      <c r="T46" s="789"/>
      <c r="U46" s="789"/>
      <c r="V46" s="789"/>
      <c r="W46" s="789"/>
      <c r="X46" s="789"/>
      <c r="Y46" s="789"/>
      <c r="Z46" s="789"/>
      <c r="AA46" s="789"/>
      <c r="AB46" s="789"/>
      <c r="AC46" s="789"/>
      <c r="AD46" s="789"/>
      <c r="AE46" s="789"/>
      <c r="AF46" s="789"/>
      <c r="AG46" s="789"/>
      <c r="AH46" s="789"/>
      <c r="AI46" s="789"/>
      <c r="AJ46" s="789"/>
      <c r="AK46" s="789"/>
      <c r="AL46" s="789"/>
      <c r="AM46" s="789"/>
    </row>
    <row r="47" spans="7:39" ht="15" customHeight="1">
      <c r="G47" s="788"/>
      <c r="H47" s="788"/>
      <c r="I47" s="789"/>
      <c r="J47" s="789"/>
      <c r="K47" s="789"/>
      <c r="L47" s="789"/>
      <c r="M47" s="789"/>
      <c r="N47" s="789"/>
      <c r="O47" s="789"/>
      <c r="P47" s="789"/>
      <c r="Q47" s="789"/>
      <c r="R47" s="789"/>
      <c r="S47" s="789"/>
      <c r="T47" s="789"/>
      <c r="U47" s="789"/>
      <c r="V47" s="789"/>
      <c r="W47" s="789"/>
      <c r="X47" s="789"/>
      <c r="Y47" s="789"/>
      <c r="Z47" s="789"/>
      <c r="AA47" s="789"/>
      <c r="AB47" s="789"/>
      <c r="AC47" s="789"/>
      <c r="AD47" s="789"/>
      <c r="AE47" s="789"/>
      <c r="AF47" s="789"/>
      <c r="AG47" s="789"/>
      <c r="AH47" s="789"/>
      <c r="AI47" s="789"/>
      <c r="AJ47" s="789"/>
      <c r="AK47" s="789"/>
      <c r="AL47" s="789"/>
      <c r="AM47" s="789"/>
    </row>
    <row r="48" spans="7:39" ht="15" customHeight="1">
      <c r="G48" s="788"/>
      <c r="H48" s="788"/>
      <c r="I48" s="789"/>
      <c r="J48" s="789"/>
      <c r="K48" s="789"/>
      <c r="L48" s="789"/>
      <c r="M48" s="789"/>
      <c r="N48" s="789"/>
      <c r="O48" s="789"/>
      <c r="P48" s="789"/>
      <c r="Q48" s="789"/>
      <c r="R48" s="789"/>
      <c r="S48" s="789"/>
      <c r="T48" s="789"/>
      <c r="U48" s="789"/>
      <c r="V48" s="789"/>
      <c r="W48" s="789"/>
      <c r="X48" s="789"/>
      <c r="Y48" s="789"/>
      <c r="Z48" s="789"/>
      <c r="AA48" s="789"/>
      <c r="AB48" s="789"/>
      <c r="AC48" s="789"/>
      <c r="AD48" s="789"/>
      <c r="AE48" s="789"/>
      <c r="AF48" s="789"/>
      <c r="AG48" s="789"/>
      <c r="AH48" s="789"/>
      <c r="AI48" s="789"/>
      <c r="AJ48" s="789"/>
      <c r="AK48" s="789"/>
      <c r="AL48" s="789"/>
      <c r="AM48" s="789"/>
    </row>
    <row r="49" spans="7:39" ht="15" customHeight="1">
      <c r="G49" s="788"/>
      <c r="H49" s="788"/>
      <c r="I49" s="789"/>
      <c r="J49" s="789"/>
      <c r="K49" s="789"/>
      <c r="L49" s="789"/>
      <c r="M49" s="789"/>
      <c r="N49" s="789"/>
      <c r="O49" s="789"/>
      <c r="P49" s="789"/>
      <c r="Q49" s="789"/>
      <c r="R49" s="789"/>
      <c r="S49" s="789"/>
      <c r="T49" s="789"/>
      <c r="U49" s="789"/>
      <c r="V49" s="789"/>
      <c r="W49" s="789"/>
      <c r="X49" s="789"/>
      <c r="Y49" s="789"/>
      <c r="Z49" s="789"/>
      <c r="AA49" s="789"/>
      <c r="AB49" s="789"/>
      <c r="AC49" s="789"/>
      <c r="AD49" s="789"/>
      <c r="AE49" s="789"/>
      <c r="AF49" s="789"/>
      <c r="AG49" s="789"/>
      <c r="AH49" s="789"/>
      <c r="AI49" s="789"/>
      <c r="AJ49" s="789"/>
      <c r="AK49" s="789"/>
      <c r="AL49" s="789"/>
      <c r="AM49" s="789"/>
    </row>
    <row r="50" spans="7:39" ht="15" customHeight="1">
      <c r="G50" s="788"/>
      <c r="H50" s="788"/>
      <c r="I50" s="789"/>
      <c r="J50" s="789"/>
      <c r="K50" s="789"/>
      <c r="L50" s="789"/>
      <c r="M50" s="789"/>
      <c r="N50" s="789"/>
      <c r="O50" s="789"/>
      <c r="P50" s="789"/>
      <c r="Q50" s="789"/>
      <c r="R50" s="789"/>
      <c r="S50" s="789"/>
      <c r="T50" s="789"/>
      <c r="U50" s="789"/>
      <c r="V50" s="789"/>
      <c r="W50" s="789"/>
      <c r="X50" s="789"/>
      <c r="Y50" s="789"/>
      <c r="Z50" s="789"/>
      <c r="AA50" s="789"/>
      <c r="AB50" s="789"/>
      <c r="AC50" s="789"/>
      <c r="AD50" s="789"/>
      <c r="AE50" s="789"/>
      <c r="AF50" s="789"/>
      <c r="AG50" s="789"/>
      <c r="AH50" s="789"/>
      <c r="AI50" s="789"/>
      <c r="AJ50" s="789"/>
      <c r="AK50" s="789"/>
      <c r="AL50" s="789"/>
      <c r="AM50" s="789"/>
    </row>
    <row r="51" spans="7:39" ht="15" customHeight="1">
      <c r="G51" s="788"/>
      <c r="H51" s="788"/>
      <c r="I51" s="789"/>
      <c r="J51" s="789"/>
      <c r="K51" s="789"/>
      <c r="L51" s="789"/>
      <c r="M51" s="789"/>
      <c r="N51" s="789"/>
      <c r="O51" s="789"/>
      <c r="P51" s="789"/>
      <c r="Q51" s="789"/>
      <c r="R51" s="789"/>
      <c r="S51" s="789"/>
      <c r="T51" s="789"/>
      <c r="U51" s="789"/>
      <c r="V51" s="789"/>
      <c r="W51" s="789"/>
      <c r="X51" s="789"/>
      <c r="Y51" s="789"/>
      <c r="Z51" s="789"/>
      <c r="AA51" s="789"/>
      <c r="AB51" s="789"/>
      <c r="AC51" s="789"/>
      <c r="AD51" s="789"/>
      <c r="AE51" s="789"/>
      <c r="AF51" s="789"/>
      <c r="AG51" s="789"/>
      <c r="AH51" s="789"/>
      <c r="AI51" s="789"/>
      <c r="AJ51" s="789"/>
      <c r="AK51" s="789"/>
      <c r="AL51" s="789"/>
      <c r="AM51" s="789"/>
    </row>
    <row r="52" spans="7:39" ht="15" customHeight="1">
      <c r="G52" s="788"/>
      <c r="H52" s="788"/>
      <c r="I52" s="789"/>
      <c r="J52" s="789"/>
      <c r="K52" s="789"/>
      <c r="L52" s="789"/>
      <c r="M52" s="789"/>
      <c r="N52" s="789"/>
      <c r="O52" s="789"/>
      <c r="P52" s="789"/>
      <c r="Q52" s="789"/>
      <c r="R52" s="789"/>
      <c r="S52" s="789"/>
      <c r="T52" s="789"/>
      <c r="U52" s="789"/>
      <c r="V52" s="789"/>
      <c r="W52" s="789"/>
      <c r="X52" s="789"/>
      <c r="Y52" s="789"/>
      <c r="Z52" s="789"/>
      <c r="AA52" s="789"/>
      <c r="AB52" s="789"/>
      <c r="AC52" s="789"/>
      <c r="AD52" s="789"/>
      <c r="AE52" s="789"/>
      <c r="AF52" s="789"/>
      <c r="AG52" s="789"/>
      <c r="AH52" s="789"/>
      <c r="AI52" s="789"/>
      <c r="AJ52" s="789"/>
      <c r="AK52" s="789"/>
      <c r="AL52" s="789"/>
      <c r="AM52" s="789"/>
    </row>
    <row r="53" spans="7:39" ht="15" customHeight="1">
      <c r="G53" s="788"/>
      <c r="H53" s="788"/>
      <c r="I53" s="789"/>
      <c r="J53" s="789"/>
      <c r="K53" s="789"/>
      <c r="L53" s="789"/>
      <c r="M53" s="789"/>
      <c r="N53" s="789"/>
      <c r="O53" s="789"/>
      <c r="P53" s="789"/>
      <c r="Q53" s="789"/>
      <c r="R53" s="789"/>
      <c r="S53" s="789"/>
      <c r="T53" s="789"/>
      <c r="U53" s="789"/>
      <c r="V53" s="789"/>
      <c r="W53" s="789"/>
      <c r="X53" s="789"/>
      <c r="Y53" s="789"/>
      <c r="Z53" s="789"/>
      <c r="AA53" s="789"/>
      <c r="AB53" s="789"/>
      <c r="AC53" s="789"/>
      <c r="AD53" s="789"/>
      <c r="AE53" s="789"/>
      <c r="AF53" s="789"/>
      <c r="AG53" s="789"/>
      <c r="AH53" s="789"/>
      <c r="AI53" s="789"/>
      <c r="AJ53" s="789"/>
      <c r="AK53" s="789"/>
      <c r="AL53" s="789"/>
      <c r="AM53" s="789"/>
    </row>
    <row r="54" spans="7:39" ht="15" customHeight="1">
      <c r="G54" s="788"/>
      <c r="H54" s="788"/>
      <c r="I54" s="789"/>
      <c r="J54" s="789"/>
      <c r="K54" s="789"/>
      <c r="L54" s="789"/>
      <c r="M54" s="789"/>
      <c r="N54" s="789"/>
      <c r="O54" s="789"/>
      <c r="P54" s="789"/>
      <c r="Q54" s="789"/>
      <c r="R54" s="789"/>
      <c r="S54" s="789"/>
      <c r="T54" s="789"/>
      <c r="U54" s="789"/>
      <c r="V54" s="789"/>
      <c r="W54" s="789"/>
      <c r="X54" s="789"/>
      <c r="Y54" s="789"/>
      <c r="Z54" s="789"/>
      <c r="AA54" s="789"/>
      <c r="AB54" s="789"/>
      <c r="AC54" s="789"/>
      <c r="AD54" s="789"/>
      <c r="AE54" s="789"/>
      <c r="AF54" s="789"/>
      <c r="AG54" s="789"/>
      <c r="AH54" s="789"/>
      <c r="AI54" s="789"/>
      <c r="AJ54" s="789"/>
      <c r="AK54" s="789"/>
      <c r="AL54" s="789"/>
      <c r="AM54" s="789"/>
    </row>
    <row r="55" spans="7:39" ht="15" customHeight="1">
      <c r="G55" s="788"/>
      <c r="H55" s="788"/>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789"/>
      <c r="AH55" s="789"/>
      <c r="AI55" s="789"/>
      <c r="AJ55" s="789"/>
      <c r="AK55" s="789"/>
      <c r="AL55" s="789"/>
      <c r="AM55" s="789"/>
    </row>
    <row r="56" spans="7:39" ht="15" customHeight="1">
      <c r="G56" s="788"/>
      <c r="H56" s="788"/>
      <c r="I56" s="789"/>
      <c r="J56" s="789"/>
      <c r="K56" s="789"/>
      <c r="L56" s="789"/>
      <c r="M56" s="789"/>
      <c r="N56" s="789"/>
      <c r="O56" s="789"/>
      <c r="P56" s="789"/>
      <c r="Q56" s="789"/>
      <c r="R56" s="789"/>
      <c r="S56" s="789"/>
      <c r="T56" s="789"/>
      <c r="U56" s="789"/>
      <c r="V56" s="789"/>
      <c r="W56" s="789"/>
      <c r="X56" s="789"/>
      <c r="Y56" s="789"/>
      <c r="Z56" s="789"/>
      <c r="AA56" s="789"/>
      <c r="AB56" s="789"/>
      <c r="AC56" s="789"/>
      <c r="AD56" s="789"/>
      <c r="AE56" s="789"/>
      <c r="AF56" s="789"/>
      <c r="AG56" s="789"/>
      <c r="AH56" s="789"/>
      <c r="AI56" s="789"/>
      <c r="AJ56" s="789"/>
      <c r="AK56" s="789"/>
      <c r="AL56" s="789"/>
      <c r="AM56" s="789"/>
    </row>
    <row r="57" spans="7:39" ht="15" customHeight="1">
      <c r="G57" s="788"/>
      <c r="H57" s="788"/>
      <c r="I57" s="789"/>
      <c r="J57" s="789"/>
      <c r="K57" s="789"/>
      <c r="L57" s="789"/>
      <c r="M57" s="789"/>
      <c r="N57" s="789"/>
      <c r="O57" s="789"/>
      <c r="P57" s="789"/>
      <c r="Q57" s="789"/>
      <c r="R57" s="789"/>
      <c r="S57" s="789"/>
      <c r="T57" s="789"/>
      <c r="U57" s="789"/>
      <c r="V57" s="789"/>
      <c r="W57" s="789"/>
      <c r="X57" s="789"/>
      <c r="Y57" s="789"/>
      <c r="Z57" s="789"/>
      <c r="AA57" s="789"/>
      <c r="AB57" s="789"/>
      <c r="AC57" s="789"/>
      <c r="AD57" s="789"/>
      <c r="AE57" s="789"/>
      <c r="AF57" s="789"/>
      <c r="AG57" s="789"/>
      <c r="AH57" s="789"/>
      <c r="AI57" s="789"/>
      <c r="AJ57" s="789"/>
      <c r="AK57" s="789"/>
      <c r="AL57" s="789"/>
      <c r="AM57" s="789"/>
    </row>
    <row r="58" spans="7:39" ht="15" customHeight="1">
      <c r="G58" s="788"/>
      <c r="H58" s="788"/>
      <c r="I58" s="789"/>
      <c r="J58" s="789"/>
      <c r="K58" s="789"/>
      <c r="L58" s="789"/>
      <c r="M58" s="789"/>
      <c r="N58" s="789"/>
      <c r="O58" s="789"/>
      <c r="P58" s="789"/>
      <c r="Q58" s="789"/>
      <c r="R58" s="789"/>
      <c r="S58" s="789"/>
      <c r="T58" s="789"/>
      <c r="U58" s="789"/>
      <c r="V58" s="789"/>
      <c r="W58" s="789"/>
      <c r="X58" s="789"/>
      <c r="Y58" s="789"/>
      <c r="Z58" s="789"/>
      <c r="AA58" s="789"/>
      <c r="AB58" s="789"/>
      <c r="AC58" s="789"/>
      <c r="AD58" s="789"/>
      <c r="AE58" s="789"/>
      <c r="AF58" s="789"/>
      <c r="AG58" s="789"/>
      <c r="AH58" s="789"/>
      <c r="AI58" s="789"/>
      <c r="AJ58" s="789"/>
      <c r="AK58" s="789"/>
      <c r="AL58" s="789"/>
      <c r="AM58" s="789"/>
    </row>
    <row r="59" spans="7:39" ht="15" customHeight="1">
      <c r="G59" s="788"/>
      <c r="H59" s="788"/>
      <c r="I59" s="789"/>
      <c r="J59" s="789"/>
      <c r="K59" s="789"/>
      <c r="L59" s="789"/>
      <c r="M59" s="789"/>
      <c r="N59" s="789"/>
      <c r="O59" s="789"/>
      <c r="P59" s="789"/>
      <c r="Q59" s="789"/>
      <c r="R59" s="789"/>
      <c r="S59" s="789"/>
      <c r="T59" s="789"/>
      <c r="U59" s="789"/>
      <c r="V59" s="789"/>
      <c r="W59" s="789"/>
      <c r="X59" s="789"/>
      <c r="Y59" s="789"/>
      <c r="Z59" s="789"/>
      <c r="AA59" s="789"/>
      <c r="AB59" s="789"/>
      <c r="AC59" s="789"/>
      <c r="AD59" s="789"/>
      <c r="AE59" s="789"/>
      <c r="AF59" s="789"/>
      <c r="AG59" s="789"/>
      <c r="AH59" s="789"/>
      <c r="AI59" s="789"/>
      <c r="AJ59" s="789"/>
      <c r="AK59" s="789"/>
      <c r="AL59" s="789"/>
      <c r="AM59" s="789"/>
    </row>
    <row r="60" spans="7:39" ht="15" customHeight="1">
      <c r="G60" s="788"/>
      <c r="H60" s="788"/>
      <c r="I60" s="789"/>
      <c r="J60" s="789"/>
      <c r="K60" s="789"/>
      <c r="L60" s="789"/>
      <c r="M60" s="789"/>
      <c r="N60" s="789"/>
      <c r="O60" s="789"/>
      <c r="P60" s="789"/>
      <c r="Q60" s="789"/>
      <c r="R60" s="789"/>
      <c r="S60" s="789"/>
      <c r="T60" s="789"/>
      <c r="U60" s="789"/>
      <c r="V60" s="789"/>
      <c r="W60" s="789"/>
      <c r="X60" s="789"/>
      <c r="Y60" s="789"/>
      <c r="Z60" s="789"/>
      <c r="AA60" s="789"/>
      <c r="AB60" s="789"/>
      <c r="AC60" s="789"/>
      <c r="AD60" s="789"/>
      <c r="AE60" s="789"/>
      <c r="AF60" s="789"/>
      <c r="AG60" s="789"/>
      <c r="AH60" s="789"/>
      <c r="AI60" s="789"/>
      <c r="AJ60" s="789"/>
      <c r="AK60" s="789"/>
      <c r="AL60" s="789"/>
      <c r="AM60" s="789"/>
    </row>
    <row r="61" spans="7:39" ht="15" customHeight="1">
      <c r="G61" s="788"/>
      <c r="H61" s="788"/>
      <c r="I61" s="789"/>
      <c r="J61" s="789"/>
      <c r="K61" s="789"/>
      <c r="L61" s="789"/>
      <c r="M61" s="789"/>
      <c r="N61" s="789"/>
      <c r="O61" s="789"/>
      <c r="P61" s="789"/>
      <c r="Q61" s="789"/>
      <c r="R61" s="789"/>
      <c r="S61" s="789"/>
      <c r="T61" s="789"/>
      <c r="U61" s="789"/>
      <c r="V61" s="789"/>
      <c r="W61" s="789"/>
      <c r="X61" s="789"/>
      <c r="Y61" s="789"/>
      <c r="Z61" s="789"/>
      <c r="AA61" s="789"/>
      <c r="AB61" s="789"/>
      <c r="AC61" s="789"/>
      <c r="AD61" s="789"/>
      <c r="AE61" s="789"/>
      <c r="AF61" s="789"/>
      <c r="AG61" s="789"/>
      <c r="AH61" s="789"/>
      <c r="AI61" s="789"/>
      <c r="AJ61" s="789"/>
      <c r="AK61" s="789"/>
      <c r="AL61" s="789"/>
      <c r="AM61" s="789"/>
    </row>
    <row r="62" spans="7:39" ht="15" customHeight="1">
      <c r="G62" s="788"/>
      <c r="H62" s="788"/>
      <c r="I62" s="789"/>
      <c r="J62" s="789"/>
      <c r="K62" s="789"/>
      <c r="L62" s="789"/>
      <c r="M62" s="789"/>
      <c r="N62" s="789"/>
      <c r="O62" s="789"/>
      <c r="P62" s="789"/>
      <c r="Q62" s="789"/>
      <c r="R62" s="789"/>
      <c r="S62" s="789"/>
      <c r="T62" s="789"/>
      <c r="U62" s="789"/>
      <c r="V62" s="789"/>
      <c r="W62" s="789"/>
      <c r="X62" s="789"/>
      <c r="Y62" s="789"/>
      <c r="Z62" s="789"/>
      <c r="AA62" s="789"/>
      <c r="AB62" s="789"/>
      <c r="AC62" s="789"/>
      <c r="AD62" s="789"/>
      <c r="AE62" s="789"/>
      <c r="AF62" s="789"/>
      <c r="AG62" s="789"/>
      <c r="AH62" s="789"/>
      <c r="AI62" s="789"/>
      <c r="AJ62" s="789"/>
      <c r="AK62" s="789"/>
      <c r="AL62" s="789"/>
      <c r="AM62" s="789"/>
    </row>
    <row r="63" spans="7:39" ht="15" customHeight="1">
      <c r="G63" s="788"/>
      <c r="H63" s="788"/>
      <c r="I63" s="789"/>
      <c r="J63" s="789"/>
      <c r="K63" s="789"/>
      <c r="L63" s="789"/>
      <c r="M63" s="789"/>
      <c r="N63" s="789"/>
      <c r="O63" s="789"/>
      <c r="P63" s="789"/>
      <c r="Q63" s="789"/>
      <c r="R63" s="789"/>
      <c r="S63" s="789"/>
      <c r="T63" s="789"/>
      <c r="U63" s="789"/>
      <c r="V63" s="789"/>
      <c r="W63" s="789"/>
      <c r="X63" s="789"/>
      <c r="Y63" s="789"/>
      <c r="Z63" s="789"/>
      <c r="AA63" s="789"/>
      <c r="AB63" s="789"/>
      <c r="AC63" s="789"/>
      <c r="AD63" s="789"/>
      <c r="AE63" s="789"/>
      <c r="AF63" s="789"/>
      <c r="AG63" s="789"/>
      <c r="AH63" s="789"/>
      <c r="AI63" s="789"/>
      <c r="AJ63" s="789"/>
      <c r="AK63" s="789"/>
      <c r="AL63" s="789"/>
      <c r="AM63" s="789"/>
    </row>
    <row r="64" spans="7:39" ht="15" customHeight="1">
      <c r="G64" s="788"/>
      <c r="H64" s="788"/>
      <c r="I64" s="789"/>
      <c r="J64" s="789"/>
      <c r="K64" s="789"/>
      <c r="L64" s="789"/>
      <c r="M64" s="789"/>
      <c r="N64" s="789"/>
      <c r="O64" s="789"/>
      <c r="P64" s="789"/>
      <c r="Q64" s="789"/>
      <c r="R64" s="789"/>
      <c r="S64" s="789"/>
      <c r="T64" s="789"/>
      <c r="U64" s="789"/>
      <c r="V64" s="789"/>
      <c r="W64" s="789"/>
      <c r="X64" s="789"/>
      <c r="Y64" s="789"/>
      <c r="Z64" s="789"/>
      <c r="AA64" s="789"/>
      <c r="AB64" s="789"/>
      <c r="AC64" s="789"/>
      <c r="AD64" s="789"/>
      <c r="AE64" s="789"/>
      <c r="AF64" s="789"/>
      <c r="AG64" s="789"/>
      <c r="AH64" s="789"/>
      <c r="AI64" s="789"/>
      <c r="AJ64" s="789"/>
      <c r="AK64" s="789"/>
      <c r="AL64" s="789"/>
      <c r="AM64" s="789"/>
    </row>
    <row r="65" spans="7:39" ht="15" customHeight="1">
      <c r="G65" s="788"/>
      <c r="H65" s="788"/>
      <c r="I65" s="789"/>
      <c r="J65" s="789"/>
      <c r="K65" s="789"/>
      <c r="L65" s="789"/>
      <c r="M65" s="789"/>
      <c r="N65" s="789"/>
      <c r="O65" s="789"/>
      <c r="P65" s="789"/>
      <c r="Q65" s="789"/>
      <c r="R65" s="789"/>
      <c r="S65" s="789"/>
      <c r="T65" s="789"/>
      <c r="U65" s="789"/>
      <c r="V65" s="789"/>
      <c r="W65" s="789"/>
      <c r="X65" s="789"/>
      <c r="Y65" s="789"/>
      <c r="Z65" s="789"/>
      <c r="AA65" s="789"/>
      <c r="AB65" s="789"/>
      <c r="AC65" s="789"/>
      <c r="AD65" s="789"/>
      <c r="AE65" s="789"/>
      <c r="AF65" s="789"/>
      <c r="AG65" s="789"/>
      <c r="AH65" s="789"/>
      <c r="AI65" s="789"/>
      <c r="AJ65" s="789"/>
      <c r="AK65" s="789"/>
      <c r="AL65" s="789"/>
      <c r="AM65" s="789"/>
    </row>
    <row r="66" spans="7:39" ht="15" customHeight="1">
      <c r="G66" s="788"/>
      <c r="H66" s="788"/>
      <c r="I66" s="789"/>
      <c r="J66" s="789"/>
      <c r="K66" s="789"/>
      <c r="L66" s="789"/>
      <c r="M66" s="789"/>
      <c r="N66" s="789"/>
      <c r="O66" s="789"/>
      <c r="P66" s="789"/>
      <c r="Q66" s="789"/>
      <c r="R66" s="789"/>
      <c r="S66" s="789"/>
      <c r="T66" s="789"/>
      <c r="U66" s="789"/>
      <c r="V66" s="789"/>
      <c r="W66" s="789"/>
      <c r="X66" s="789"/>
      <c r="Y66" s="789"/>
      <c r="Z66" s="789"/>
      <c r="AA66" s="789"/>
      <c r="AB66" s="789"/>
      <c r="AC66" s="789"/>
      <c r="AD66" s="789"/>
      <c r="AE66" s="789"/>
      <c r="AF66" s="789"/>
      <c r="AG66" s="789"/>
      <c r="AH66" s="789"/>
      <c r="AI66" s="789"/>
      <c r="AJ66" s="789"/>
      <c r="AK66" s="789"/>
      <c r="AL66" s="789"/>
      <c r="AM66" s="789"/>
    </row>
    <row r="67" spans="7:39" ht="15" customHeight="1">
      <c r="G67" s="788"/>
      <c r="H67" s="788"/>
      <c r="I67" s="789"/>
      <c r="J67" s="789"/>
      <c r="K67" s="789"/>
      <c r="L67" s="789"/>
      <c r="M67" s="789"/>
      <c r="N67" s="789"/>
      <c r="O67" s="789"/>
      <c r="P67" s="789"/>
      <c r="Q67" s="789"/>
      <c r="R67" s="789"/>
      <c r="S67" s="789"/>
      <c r="T67" s="789"/>
      <c r="U67" s="789"/>
      <c r="V67" s="789"/>
      <c r="W67" s="789"/>
      <c r="X67" s="789"/>
      <c r="Y67" s="789"/>
      <c r="Z67" s="789"/>
      <c r="AA67" s="789"/>
      <c r="AB67" s="789"/>
      <c r="AC67" s="789"/>
      <c r="AD67" s="789"/>
      <c r="AE67" s="789"/>
      <c r="AF67" s="789"/>
      <c r="AG67" s="789"/>
      <c r="AH67" s="789"/>
      <c r="AI67" s="789"/>
      <c r="AJ67" s="789"/>
      <c r="AK67" s="789"/>
      <c r="AL67" s="789"/>
      <c r="AM67" s="789"/>
    </row>
    <row r="68" spans="7:39" ht="15" customHeight="1">
      <c r="G68" s="788"/>
      <c r="H68" s="788"/>
      <c r="I68" s="789"/>
      <c r="J68" s="789"/>
      <c r="K68" s="789"/>
      <c r="L68" s="789"/>
      <c r="M68" s="789"/>
      <c r="N68" s="789"/>
      <c r="O68" s="789"/>
      <c r="P68" s="789"/>
      <c r="Q68" s="789"/>
      <c r="R68" s="789"/>
      <c r="S68" s="789"/>
      <c r="T68" s="789"/>
      <c r="U68" s="789"/>
      <c r="V68" s="789"/>
      <c r="W68" s="789"/>
      <c r="X68" s="789"/>
      <c r="Y68" s="789"/>
      <c r="Z68" s="789"/>
      <c r="AA68" s="789"/>
      <c r="AB68" s="789"/>
      <c r="AC68" s="789"/>
      <c r="AD68" s="789"/>
      <c r="AE68" s="789"/>
      <c r="AF68" s="789"/>
      <c r="AG68" s="789"/>
      <c r="AH68" s="789"/>
      <c r="AI68" s="789"/>
      <c r="AJ68" s="789"/>
      <c r="AK68" s="789"/>
      <c r="AL68" s="789"/>
      <c r="AM68" s="789"/>
    </row>
    <row r="69" spans="7:39" ht="15" customHeight="1">
      <c r="G69" s="788"/>
      <c r="H69" s="788"/>
      <c r="I69" s="789"/>
      <c r="J69" s="789"/>
      <c r="K69" s="789"/>
      <c r="L69" s="789"/>
      <c r="M69" s="789"/>
      <c r="N69" s="789"/>
      <c r="O69" s="789"/>
      <c r="P69" s="789"/>
      <c r="Q69" s="789"/>
      <c r="R69" s="789"/>
      <c r="S69" s="789"/>
      <c r="T69" s="789"/>
      <c r="U69" s="789"/>
      <c r="V69" s="789"/>
      <c r="W69" s="789"/>
      <c r="X69" s="789"/>
      <c r="Y69" s="789"/>
      <c r="Z69" s="789"/>
      <c r="AA69" s="789"/>
      <c r="AB69" s="789"/>
      <c r="AC69" s="789"/>
      <c r="AD69" s="789"/>
      <c r="AE69" s="789"/>
      <c r="AF69" s="789"/>
      <c r="AG69" s="789"/>
      <c r="AH69" s="789"/>
      <c r="AI69" s="789"/>
      <c r="AJ69" s="789"/>
      <c r="AK69" s="789"/>
      <c r="AL69" s="789"/>
      <c r="AM69" s="789"/>
    </row>
    <row r="70" spans="7:39" ht="15" customHeight="1">
      <c r="G70" s="788"/>
      <c r="H70" s="788"/>
      <c r="I70" s="789"/>
      <c r="J70" s="789"/>
      <c r="K70" s="789"/>
      <c r="L70" s="789"/>
      <c r="M70" s="789"/>
      <c r="N70" s="789"/>
      <c r="O70" s="789"/>
      <c r="P70" s="789"/>
      <c r="Q70" s="789"/>
      <c r="R70" s="789"/>
      <c r="S70" s="789"/>
      <c r="T70" s="789"/>
      <c r="U70" s="789"/>
      <c r="V70" s="789"/>
      <c r="W70" s="789"/>
      <c r="X70" s="789"/>
      <c r="Y70" s="789"/>
      <c r="Z70" s="789"/>
      <c r="AA70" s="789"/>
      <c r="AB70" s="789"/>
      <c r="AC70" s="789"/>
      <c r="AD70" s="789"/>
      <c r="AE70" s="789"/>
      <c r="AF70" s="789"/>
      <c r="AG70" s="789"/>
      <c r="AH70" s="789"/>
      <c r="AI70" s="789"/>
      <c r="AJ70" s="789"/>
      <c r="AK70" s="789"/>
      <c r="AL70" s="789"/>
      <c r="AM70" s="789"/>
    </row>
    <row r="71" spans="7:39" ht="15" customHeight="1">
      <c r="G71" s="788"/>
      <c r="H71" s="788"/>
      <c r="I71" s="789"/>
      <c r="J71" s="789"/>
      <c r="K71" s="789"/>
      <c r="L71" s="789"/>
      <c r="M71" s="789"/>
      <c r="N71" s="789"/>
      <c r="O71" s="789"/>
      <c r="P71" s="789"/>
      <c r="Q71" s="789"/>
      <c r="R71" s="789"/>
      <c r="S71" s="789"/>
      <c r="T71" s="789"/>
      <c r="U71" s="789"/>
      <c r="V71" s="789"/>
      <c r="W71" s="789"/>
      <c r="X71" s="789"/>
      <c r="Y71" s="789"/>
      <c r="Z71" s="789"/>
      <c r="AA71" s="789"/>
      <c r="AB71" s="789"/>
      <c r="AC71" s="789"/>
      <c r="AD71" s="789"/>
      <c r="AE71" s="789"/>
      <c r="AF71" s="789"/>
      <c r="AG71" s="789"/>
      <c r="AH71" s="789"/>
      <c r="AI71" s="789"/>
      <c r="AJ71" s="789"/>
      <c r="AK71" s="789"/>
      <c r="AL71" s="789"/>
      <c r="AM71" s="789"/>
    </row>
    <row r="72" spans="7:39" ht="15" customHeight="1">
      <c r="G72" s="788"/>
      <c r="H72" s="788"/>
      <c r="I72" s="789"/>
      <c r="J72" s="789"/>
      <c r="K72" s="789"/>
      <c r="L72" s="789"/>
      <c r="M72" s="789"/>
      <c r="N72" s="789"/>
      <c r="O72" s="789"/>
      <c r="P72" s="789"/>
      <c r="Q72" s="789"/>
      <c r="R72" s="789"/>
      <c r="S72" s="789"/>
      <c r="T72" s="789"/>
      <c r="U72" s="789"/>
      <c r="V72" s="789"/>
      <c r="W72" s="789"/>
      <c r="X72" s="789"/>
      <c r="Y72" s="789"/>
      <c r="Z72" s="789"/>
      <c r="AA72" s="789"/>
      <c r="AB72" s="789"/>
      <c r="AC72" s="789"/>
      <c r="AD72" s="789"/>
      <c r="AE72" s="789"/>
      <c r="AF72" s="789"/>
      <c r="AG72" s="789"/>
      <c r="AH72" s="789"/>
      <c r="AI72" s="789"/>
      <c r="AJ72" s="789"/>
      <c r="AK72" s="789"/>
      <c r="AL72" s="789"/>
      <c r="AM72" s="789"/>
    </row>
    <row r="73" spans="7:39" ht="15" customHeight="1">
      <c r="G73" s="788"/>
      <c r="H73" s="788"/>
      <c r="I73" s="789"/>
      <c r="J73" s="789"/>
      <c r="K73" s="789"/>
      <c r="L73" s="789"/>
      <c r="M73" s="789"/>
      <c r="N73" s="789"/>
      <c r="O73" s="789"/>
      <c r="P73" s="789"/>
      <c r="Q73" s="789"/>
      <c r="R73" s="789"/>
      <c r="S73" s="789"/>
      <c r="T73" s="789"/>
      <c r="U73" s="789"/>
      <c r="V73" s="789"/>
      <c r="W73" s="789"/>
      <c r="X73" s="789"/>
      <c r="Y73" s="789"/>
      <c r="Z73" s="789"/>
      <c r="AA73" s="789"/>
      <c r="AB73" s="789"/>
      <c r="AC73" s="789"/>
      <c r="AD73" s="789"/>
      <c r="AE73" s="789"/>
      <c r="AF73" s="789"/>
      <c r="AG73" s="789"/>
      <c r="AH73" s="789"/>
      <c r="AI73" s="789"/>
      <c r="AJ73" s="789"/>
      <c r="AK73" s="789"/>
      <c r="AL73" s="789"/>
      <c r="AM73" s="789"/>
    </row>
    <row r="74" spans="7:39" ht="15" customHeight="1">
      <c r="G74" s="788"/>
      <c r="H74" s="788"/>
      <c r="I74" s="789"/>
      <c r="J74" s="789"/>
      <c r="K74" s="789"/>
      <c r="L74" s="789"/>
      <c r="M74" s="789"/>
      <c r="N74" s="789"/>
      <c r="O74" s="789"/>
      <c r="P74" s="789"/>
      <c r="Q74" s="789"/>
      <c r="R74" s="789"/>
      <c r="S74" s="789"/>
      <c r="T74" s="789"/>
      <c r="U74" s="789"/>
      <c r="V74" s="789"/>
      <c r="W74" s="789"/>
      <c r="X74" s="789"/>
      <c r="Y74" s="789"/>
      <c r="Z74" s="789"/>
      <c r="AA74" s="789"/>
      <c r="AB74" s="789"/>
      <c r="AC74" s="789"/>
      <c r="AD74" s="789"/>
      <c r="AE74" s="789"/>
      <c r="AF74" s="789"/>
      <c r="AG74" s="789"/>
      <c r="AH74" s="789"/>
      <c r="AI74" s="789"/>
      <c r="AJ74" s="789"/>
      <c r="AK74" s="789"/>
      <c r="AL74" s="789"/>
      <c r="AM74" s="789"/>
    </row>
    <row r="75" spans="7:39" ht="15" customHeight="1">
      <c r="G75" s="788"/>
      <c r="H75" s="788"/>
      <c r="I75" s="789"/>
      <c r="J75" s="789"/>
      <c r="K75" s="789"/>
      <c r="L75" s="789"/>
      <c r="M75" s="789"/>
      <c r="N75" s="789"/>
      <c r="O75" s="789"/>
      <c r="P75" s="789"/>
      <c r="Q75" s="789"/>
      <c r="R75" s="789"/>
      <c r="S75" s="789"/>
      <c r="T75" s="789"/>
      <c r="U75" s="789"/>
      <c r="V75" s="789"/>
      <c r="W75" s="789"/>
      <c r="X75" s="789"/>
      <c r="Y75" s="789"/>
      <c r="Z75" s="789"/>
      <c r="AA75" s="789"/>
      <c r="AB75" s="789"/>
      <c r="AC75" s="789"/>
      <c r="AD75" s="789"/>
      <c r="AE75" s="789"/>
      <c r="AF75" s="789"/>
      <c r="AG75" s="789"/>
      <c r="AH75" s="789"/>
      <c r="AI75" s="789"/>
      <c r="AJ75" s="789"/>
      <c r="AK75" s="789"/>
      <c r="AL75" s="789"/>
      <c r="AM75" s="789"/>
    </row>
    <row r="76" spans="7:39" ht="15" customHeight="1">
      <c r="G76" s="788"/>
      <c r="H76" s="788"/>
      <c r="I76" s="789"/>
      <c r="J76" s="789"/>
      <c r="K76" s="789"/>
      <c r="L76" s="789"/>
      <c r="M76" s="789"/>
      <c r="N76" s="789"/>
      <c r="O76" s="789"/>
      <c r="P76" s="789"/>
      <c r="Q76" s="789"/>
      <c r="R76" s="789"/>
      <c r="S76" s="789"/>
      <c r="T76" s="789"/>
      <c r="U76" s="789"/>
      <c r="V76" s="789"/>
      <c r="W76" s="789"/>
      <c r="X76" s="789"/>
      <c r="Y76" s="789"/>
      <c r="Z76" s="789"/>
      <c r="AA76" s="789"/>
      <c r="AB76" s="789"/>
      <c r="AC76" s="789"/>
      <c r="AD76" s="789"/>
      <c r="AE76" s="789"/>
      <c r="AF76" s="789"/>
      <c r="AG76" s="789"/>
      <c r="AH76" s="789"/>
      <c r="AI76" s="789"/>
      <c r="AJ76" s="789"/>
      <c r="AK76" s="789"/>
      <c r="AL76" s="789"/>
      <c r="AM76" s="789"/>
    </row>
    <row r="77" spans="7:39" ht="15" customHeight="1">
      <c r="G77" s="788"/>
      <c r="H77" s="788"/>
      <c r="I77" s="789"/>
      <c r="J77" s="789"/>
      <c r="K77" s="789"/>
      <c r="L77" s="789"/>
      <c r="M77" s="789"/>
      <c r="N77" s="789"/>
      <c r="O77" s="789"/>
      <c r="P77" s="789"/>
      <c r="Q77" s="789"/>
      <c r="R77" s="789"/>
      <c r="S77" s="789"/>
      <c r="T77" s="789"/>
      <c r="U77" s="789"/>
      <c r="V77" s="789"/>
      <c r="W77" s="789"/>
      <c r="X77" s="789"/>
      <c r="Y77" s="789"/>
      <c r="Z77" s="789"/>
      <c r="AA77" s="789"/>
      <c r="AB77" s="789"/>
      <c r="AC77" s="789"/>
      <c r="AD77" s="789"/>
      <c r="AE77" s="789"/>
      <c r="AF77" s="789"/>
      <c r="AG77" s="789"/>
      <c r="AH77" s="789"/>
      <c r="AI77" s="789"/>
      <c r="AJ77" s="789"/>
      <c r="AK77" s="789"/>
      <c r="AL77" s="789"/>
      <c r="AM77" s="789"/>
    </row>
    <row r="78" spans="7:39" ht="15" customHeight="1">
      <c r="G78" s="788"/>
      <c r="H78" s="788"/>
      <c r="I78" s="789"/>
      <c r="J78" s="789"/>
      <c r="K78" s="789"/>
      <c r="L78" s="789"/>
      <c r="M78" s="789"/>
      <c r="N78" s="789"/>
      <c r="O78" s="789"/>
      <c r="P78" s="789"/>
      <c r="Q78" s="789"/>
      <c r="R78" s="789"/>
      <c r="S78" s="789"/>
      <c r="T78" s="789"/>
      <c r="U78" s="789"/>
      <c r="V78" s="789"/>
      <c r="W78" s="789"/>
      <c r="X78" s="789"/>
      <c r="Y78" s="789"/>
      <c r="Z78" s="789"/>
      <c r="AA78" s="789"/>
      <c r="AB78" s="789"/>
      <c r="AC78" s="789"/>
      <c r="AD78" s="789"/>
      <c r="AE78" s="789"/>
      <c r="AF78" s="789"/>
      <c r="AG78" s="789"/>
      <c r="AH78" s="789"/>
      <c r="AI78" s="789"/>
      <c r="AJ78" s="789"/>
      <c r="AK78" s="789"/>
      <c r="AL78" s="789"/>
      <c r="AM78" s="789"/>
    </row>
    <row r="79" spans="7:39" ht="15" customHeight="1">
      <c r="G79" s="788"/>
      <c r="H79" s="788"/>
      <c r="I79" s="789"/>
      <c r="J79" s="789"/>
      <c r="K79" s="789"/>
      <c r="L79" s="789"/>
      <c r="M79" s="789"/>
      <c r="N79" s="789"/>
      <c r="O79" s="789"/>
      <c r="P79" s="789"/>
      <c r="Q79" s="789"/>
      <c r="R79" s="789"/>
      <c r="S79" s="789"/>
      <c r="T79" s="789"/>
      <c r="U79" s="789"/>
      <c r="V79" s="789"/>
      <c r="W79" s="789"/>
      <c r="X79" s="789"/>
      <c r="Y79" s="789"/>
      <c r="Z79" s="789"/>
      <c r="AA79" s="789"/>
      <c r="AB79" s="789"/>
      <c r="AC79" s="789"/>
      <c r="AD79" s="789"/>
      <c r="AE79" s="789"/>
      <c r="AF79" s="789"/>
      <c r="AG79" s="789"/>
      <c r="AH79" s="789"/>
      <c r="AI79" s="789"/>
      <c r="AJ79" s="789"/>
      <c r="AK79" s="789"/>
      <c r="AL79" s="789"/>
      <c r="AM79" s="789"/>
    </row>
  </sheetData>
  <printOptions horizontalCentered="1"/>
  <pageMargins left="0.25" right="0.25" top="0.5" bottom="0.5" header="0.25" footer="0.25"/>
  <pageSetup horizontalDpi="300" verticalDpi="300" orientation="landscape" scale="80" r:id="rId1"/>
  <headerFooter alignWithMargins="0">
    <oddFooter>&amp;CPage 7
</oddFooter>
  </headerFooter>
</worksheet>
</file>

<file path=xl/worksheets/sheet14.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7" customWidth="1"/>
    <col min="2" max="3" width="19.7109375" style="171" customWidth="1"/>
    <col min="4" max="4" width="19.140625" style="126" customWidth="1"/>
    <col min="5" max="5" width="18.57421875" style="126" customWidth="1"/>
    <col min="6" max="6" width="18.28125" style="126" customWidth="1"/>
    <col min="7" max="7" width="20.140625" style="126" customWidth="1"/>
    <col min="8" max="8" width="18.421875" style="17" customWidth="1"/>
    <col min="9" max="9" width="14.57421875" style="17" bestFit="1" customWidth="1"/>
    <col min="10" max="10" width="18.57421875" style="17" bestFit="1" customWidth="1"/>
    <col min="11" max="16384" width="9.140625" style="17" customWidth="1"/>
  </cols>
  <sheetData>
    <row r="1" spans="1:7" s="259" customFormat="1" ht="27.75">
      <c r="A1" s="258" t="s">
        <v>77</v>
      </c>
      <c r="B1" s="304"/>
      <c r="C1" s="304"/>
      <c r="D1" s="321"/>
      <c r="E1" s="321"/>
      <c r="F1" s="321"/>
      <c r="G1" s="322"/>
    </row>
    <row r="2" spans="1:7" ht="19.5" customHeight="1">
      <c r="A2" s="18"/>
      <c r="B2" s="305"/>
      <c r="C2" s="305"/>
      <c r="D2" s="323"/>
      <c r="E2" s="323"/>
      <c r="F2" s="305"/>
      <c r="G2" s="305"/>
    </row>
    <row r="3" spans="1:7" s="102" customFormat="1" ht="18.75">
      <c r="A3" s="101" t="s">
        <v>211</v>
      </c>
      <c r="B3" s="306"/>
      <c r="C3" s="306"/>
      <c r="D3" s="324"/>
      <c r="E3" s="324"/>
      <c r="F3" s="325"/>
      <c r="G3" s="305"/>
    </row>
    <row r="4" spans="1:7" s="102" customFormat="1" ht="18.75">
      <c r="A4" s="101" t="str">
        <f>+'(7)Premiums YTD8'!A4</f>
        <v>YTD PERIOD MARCH 31st, 2004</v>
      </c>
      <c r="B4" s="306"/>
      <c r="C4" s="306"/>
      <c r="D4" s="324"/>
      <c r="E4" s="324"/>
      <c r="F4" s="326"/>
      <c r="G4" s="305"/>
    </row>
    <row r="5" spans="1:7" s="102" customFormat="1" ht="16.5">
      <c r="A5" s="25"/>
      <c r="B5" s="306"/>
      <c r="C5" s="306"/>
      <c r="D5" s="305"/>
      <c r="E5" s="305"/>
      <c r="F5" s="325"/>
      <c r="G5" s="325"/>
    </row>
    <row r="6" spans="1:7" ht="30" customHeight="1">
      <c r="A6" s="103"/>
      <c r="B6" s="307" t="s">
        <v>335</v>
      </c>
      <c r="C6" s="307" t="s">
        <v>339</v>
      </c>
      <c r="D6" s="319" t="s">
        <v>434</v>
      </c>
      <c r="E6" s="319" t="s">
        <v>39</v>
      </c>
      <c r="F6" s="319" t="s">
        <v>389</v>
      </c>
      <c r="G6" s="320" t="s">
        <v>78</v>
      </c>
    </row>
    <row r="7" spans="1:7" ht="15.75">
      <c r="A7" s="104" t="s">
        <v>212</v>
      </c>
      <c r="D7" s="327"/>
      <c r="E7" s="327"/>
      <c r="F7" s="327"/>
      <c r="G7" s="327"/>
    </row>
    <row r="8" spans="1:8" ht="15">
      <c r="A8" s="104" t="s">
        <v>213</v>
      </c>
      <c r="B8" s="308"/>
      <c r="C8" s="308"/>
      <c r="D8" s="327"/>
      <c r="E8" s="327"/>
      <c r="F8" s="327"/>
      <c r="G8" s="327"/>
      <c r="H8" s="113"/>
    </row>
    <row r="9" spans="1:8" ht="15">
      <c r="A9" s="105" t="s">
        <v>214</v>
      </c>
      <c r="B9" s="121">
        <f>+'[1]TB03-31-04(Final)'!F371</f>
        <v>0</v>
      </c>
      <c r="C9" s="121">
        <f>+'[1]TB03-31-04(Final)'!F370</f>
        <v>0</v>
      </c>
      <c r="D9" s="121">
        <f>+'[1]TB03-31-04(Final)'!F368</f>
        <v>1626410.46</v>
      </c>
      <c r="E9" s="121">
        <f>+'[1]TB03-31-04(Final)'!F367</f>
        <v>1371608.06</v>
      </c>
      <c r="F9" s="121">
        <f>SUM('[1]TB03-31-04(Final)'!F363:F366)+'[1]TB03-31-04(Final)'!G396</f>
        <v>60650</v>
      </c>
      <c r="G9" s="121">
        <f>SUM(B9:F9)</f>
        <v>3058668.52</v>
      </c>
      <c r="H9" s="24" t="s">
        <v>60</v>
      </c>
    </row>
    <row r="10" spans="1:8" s="22" customFormat="1" ht="15">
      <c r="A10" s="106" t="s">
        <v>215</v>
      </c>
      <c r="B10" s="312" t="e">
        <f>+'[1]TB03-31-04(Final)'!F379</f>
        <v>#REF!</v>
      </c>
      <c r="C10" s="312" t="e">
        <f>+'[1]TB03-31-04(Final)'!D378+'[1]TB03-31-04(Final)'!#REF!</f>
        <v>#REF!</v>
      </c>
      <c r="D10" s="312" t="e">
        <f>+'[1]TB03-31-04(Final)'!F376+'[1]TB03-31-04(Final)'!F405</f>
        <v>#REF!</v>
      </c>
      <c r="E10" s="312">
        <f>+'[1]TB03-31-04(Final)'!F375</f>
        <v>69982.57</v>
      </c>
      <c r="F10" s="312" t="e">
        <f>SUM('[1]TB03-31-04(Final)'!F372:F374)+'[1]TB03-31-04(Final)'!G400</f>
        <v>#REF!</v>
      </c>
      <c r="G10" s="328" t="e">
        <f>SUM(B10:F10)</f>
        <v>#REF!</v>
      </c>
      <c r="H10" s="24" t="s">
        <v>61</v>
      </c>
    </row>
    <row r="11" spans="1:8" s="22" customFormat="1" ht="15">
      <c r="A11" s="106" t="s">
        <v>216</v>
      </c>
      <c r="B11" s="312" t="e">
        <f>+'[1]TB03-31-04(Final)'!D386</f>
        <v>#REF!</v>
      </c>
      <c r="C11" s="312" t="e">
        <f>+'[1]TB03-31-04(Final)'!F385</f>
        <v>#REF!</v>
      </c>
      <c r="D11" s="312" t="e">
        <f>+'[1]TB03-31-04(Final)'!F384</f>
        <v>#REF!</v>
      </c>
      <c r="E11" s="312">
        <f>+'[1]TB03-31-04(Final)'!F382</f>
        <v>0</v>
      </c>
      <c r="F11" s="312">
        <f>+'[1]TB03-31-04(Final)'!F381</f>
        <v>0</v>
      </c>
      <c r="G11" s="328" t="e">
        <f>SUM(B11:F11)</f>
        <v>#REF!</v>
      </c>
      <c r="H11" s="24" t="s">
        <v>62</v>
      </c>
    </row>
    <row r="12" spans="1:8" s="22" customFormat="1" ht="15.75" thickBot="1">
      <c r="A12" s="107" t="s">
        <v>205</v>
      </c>
      <c r="B12" s="137" t="e">
        <f aca="true" t="shared" si="0" ref="B12:G12">SUM(B9:B11)</f>
        <v>#REF!</v>
      </c>
      <c r="C12" s="137" t="e">
        <f t="shared" si="0"/>
        <v>#REF!</v>
      </c>
      <c r="D12" s="329" t="e">
        <f t="shared" si="0"/>
        <v>#REF!</v>
      </c>
      <c r="E12" s="329">
        <f t="shared" si="0"/>
        <v>1441590.6300000001</v>
      </c>
      <c r="F12" s="329" t="e">
        <f t="shared" si="0"/>
        <v>#REF!</v>
      </c>
      <c r="G12" s="128" t="e">
        <f t="shared" si="0"/>
        <v>#REF!</v>
      </c>
      <c r="H12" s="22">
        <f>+'[1]TB03-31-04(Final)'!E407</f>
        <v>3783761.3799999994</v>
      </c>
    </row>
    <row r="13" spans="1:8" s="22" customFormat="1" ht="15.75" thickTop="1">
      <c r="A13" s="105"/>
      <c r="B13" s="125"/>
      <c r="C13" s="125"/>
      <c r="D13" s="328"/>
      <c r="E13" s="328"/>
      <c r="F13" s="328"/>
      <c r="G13" s="328"/>
      <c r="H13" s="22" t="e">
        <f>+G12-H12</f>
        <v>#REF!</v>
      </c>
    </row>
    <row r="14" spans="1:7" s="22" customFormat="1" ht="15">
      <c r="A14" s="104" t="s">
        <v>443</v>
      </c>
      <c r="B14" s="125"/>
      <c r="C14" s="125"/>
      <c r="D14" s="328"/>
      <c r="E14" s="328"/>
      <c r="F14" s="328"/>
      <c r="G14" s="328"/>
    </row>
    <row r="15" spans="1:7" s="22" customFormat="1" ht="15">
      <c r="A15" s="105" t="s">
        <v>217</v>
      </c>
      <c r="B15" s="328">
        <f>+'[1](1)IBNR Cal13'!D21</f>
        <v>388216.64</v>
      </c>
      <c r="C15" s="328">
        <f>+'[1](1)IBNR Cal13'!E21</f>
        <v>388216.64</v>
      </c>
      <c r="D15" s="328">
        <f>+'[1](1)IBNR Cal13'!E15</f>
        <v>86015</v>
      </c>
      <c r="E15" s="328">
        <f>+'[1](1)IBNR Cal13'!E9</f>
        <v>93733</v>
      </c>
      <c r="F15" s="328" t="e">
        <f>+'[1](1)IBNR Cal13'!#REF!</f>
        <v>#REF!</v>
      </c>
      <c r="G15" s="328" t="e">
        <f>SUM(B15:F15)</f>
        <v>#REF!</v>
      </c>
    </row>
    <row r="16" spans="1:7" s="22" customFormat="1" ht="15">
      <c r="A16" s="105" t="s">
        <v>218</v>
      </c>
      <c r="B16" s="328">
        <f>+'[1](1)IBNR Cal13'!D22</f>
        <v>137574.07</v>
      </c>
      <c r="C16" s="328">
        <f>+'[1](1)IBNR Cal13'!E22</f>
        <v>137574.07</v>
      </c>
      <c r="D16" s="328">
        <f>+'[1](1)IBNR Cal13'!E16</f>
        <v>6011</v>
      </c>
      <c r="E16" s="328">
        <f>+'[1](1)IBNR Cal13'!E10</f>
        <v>8</v>
      </c>
      <c r="F16" s="328" t="e">
        <f>+'[1](1)IBNR Cal13'!#REF!</f>
        <v>#REF!</v>
      </c>
      <c r="G16" s="328" t="e">
        <f>SUM(B16:F16)</f>
        <v>#REF!</v>
      </c>
    </row>
    <row r="17" spans="1:7" s="22" customFormat="1" ht="15">
      <c r="A17" s="105" t="s">
        <v>219</v>
      </c>
      <c r="B17" s="328">
        <f>+'[1](1)IBNR Cal13'!D23</f>
        <v>0</v>
      </c>
      <c r="C17" s="328">
        <f>+'[1](1)IBNR Cal13'!E23</f>
        <v>0</v>
      </c>
      <c r="D17" s="328">
        <f>+'[1](1)IBNR Cal13'!E17</f>
        <v>0</v>
      </c>
      <c r="E17" s="328">
        <f>+'[1](1)IBNR Cal13'!E11</f>
        <v>0</v>
      </c>
      <c r="F17" s="328" t="e">
        <f>+'[1](1)IBNR Cal13'!#REF!</f>
        <v>#REF!</v>
      </c>
      <c r="G17" s="328" t="e">
        <f>SUM(B17:F17)</f>
        <v>#REF!</v>
      </c>
    </row>
    <row r="18" spans="1:8" s="22" customFormat="1" ht="15">
      <c r="A18" s="107" t="s">
        <v>205</v>
      </c>
      <c r="B18" s="137">
        <f>SUM(B15:B17)+1</f>
        <v>525791.71</v>
      </c>
      <c r="C18" s="137">
        <f>SUM(C15:C17)+1</f>
        <v>525791.71</v>
      </c>
      <c r="D18" s="329">
        <f>SUM(D15:D17)+1</f>
        <v>92027</v>
      </c>
      <c r="E18" s="329">
        <f>SUM(E15:E17)</f>
        <v>93741</v>
      </c>
      <c r="F18" s="329" t="e">
        <f>SUM(F15:F17)</f>
        <v>#REF!</v>
      </c>
      <c r="G18" s="127" t="e">
        <f>SUM(G15:G17)</f>
        <v>#REF!</v>
      </c>
      <c r="H18" s="22">
        <f>+'[1](1)IBNR Cal13'!E42</f>
        <v>7846756.2299999995</v>
      </c>
    </row>
    <row r="19" spans="1:7" s="22" customFormat="1" ht="15">
      <c r="A19" s="105"/>
      <c r="B19" s="125"/>
      <c r="C19" s="125"/>
      <c r="D19" s="328"/>
      <c r="E19" s="328"/>
      <c r="F19" s="328"/>
      <c r="G19" s="328"/>
    </row>
    <row r="20" spans="1:7" s="22" customFormat="1" ht="15">
      <c r="A20" s="104" t="s">
        <v>28</v>
      </c>
      <c r="B20" s="309" t="s">
        <v>76</v>
      </c>
      <c r="C20" s="309" t="s">
        <v>76</v>
      </c>
      <c r="D20" s="328"/>
      <c r="E20" s="328"/>
      <c r="F20" s="328"/>
      <c r="G20" s="328"/>
    </row>
    <row r="21" spans="1:7" s="22" customFormat="1" ht="15">
      <c r="A21" s="105" t="s">
        <v>217</v>
      </c>
      <c r="B21" s="125">
        <v>0</v>
      </c>
      <c r="C21" s="125">
        <v>3812745.98</v>
      </c>
      <c r="D21" s="328">
        <v>796383.95</v>
      </c>
      <c r="E21" s="328">
        <v>173012</v>
      </c>
      <c r="F21" s="328">
        <f>4+76330.03</f>
        <v>76334.03</v>
      </c>
      <c r="G21" s="328">
        <f>SUM(B21:F21)</f>
        <v>4858475.96</v>
      </c>
    </row>
    <row r="22" spans="1:7" s="22" customFormat="1" ht="15">
      <c r="A22" s="105" t="s">
        <v>218</v>
      </c>
      <c r="B22" s="125">
        <v>0</v>
      </c>
      <c r="C22" s="125">
        <v>582572.89</v>
      </c>
      <c r="D22" s="328">
        <v>136273.61</v>
      </c>
      <c r="E22" s="328">
        <v>-982</v>
      </c>
      <c r="F22" s="328">
        <f>365.82+1967</f>
        <v>2332.82</v>
      </c>
      <c r="G22" s="328">
        <f>SUM(B22:F22)</f>
        <v>720197.32</v>
      </c>
    </row>
    <row r="23" spans="1:7" s="22" customFormat="1" ht="15">
      <c r="A23" s="105" t="s">
        <v>219</v>
      </c>
      <c r="B23" s="125">
        <v>0</v>
      </c>
      <c r="C23" s="125">
        <v>8803.51</v>
      </c>
      <c r="D23" s="328">
        <v>0</v>
      </c>
      <c r="E23" s="328">
        <v>0</v>
      </c>
      <c r="F23" s="328">
        <v>0</v>
      </c>
      <c r="G23" s="328">
        <f>SUM(B23:F23)</f>
        <v>8803.51</v>
      </c>
    </row>
    <row r="24" spans="1:8" s="22" customFormat="1" ht="15.75" thickBot="1">
      <c r="A24" s="107" t="s">
        <v>205</v>
      </c>
      <c r="B24" s="137">
        <f>SUM(B21:B23)</f>
        <v>0</v>
      </c>
      <c r="C24" s="137">
        <f>SUM(C21:C23)</f>
        <v>4404122.38</v>
      </c>
      <c r="D24" s="329">
        <f>SUM(D21:D23)</f>
        <v>932657.5599999999</v>
      </c>
      <c r="E24" s="329">
        <f>SUM(E21:E23)</f>
        <v>172030</v>
      </c>
      <c r="F24" s="329">
        <f>SUM(F21:F23)</f>
        <v>78666.85</v>
      </c>
      <c r="G24" s="128">
        <f>SUM(B24:F24)</f>
        <v>5587476.789999999</v>
      </c>
      <c r="H24" s="22">
        <f>SUM(G21:G23)</f>
        <v>5587476.79</v>
      </c>
    </row>
    <row r="25" spans="1:7" s="300" customFormat="1" ht="15.75" thickTop="1">
      <c r="A25" s="299"/>
      <c r="B25" s="309"/>
      <c r="C25" s="309"/>
      <c r="D25" s="309"/>
      <c r="E25" s="309"/>
      <c r="F25" s="309"/>
      <c r="G25" s="309"/>
    </row>
    <row r="26" spans="1:7" s="22" customFormat="1" ht="15">
      <c r="A26" s="104" t="s">
        <v>220</v>
      </c>
      <c r="B26" s="125"/>
      <c r="C26" s="125"/>
      <c r="D26" s="328"/>
      <c r="E26" s="328"/>
      <c r="F26" s="328"/>
      <c r="G26" s="328"/>
    </row>
    <row r="27" spans="1:9" s="22" customFormat="1" ht="15">
      <c r="A27" s="105" t="s">
        <v>217</v>
      </c>
      <c r="B27" s="328">
        <f aca="true" t="shared" si="1" ref="B27:C29">B9+(B15-B21)</f>
        <v>388216.64</v>
      </c>
      <c r="C27" s="328">
        <f t="shared" si="1"/>
        <v>-3424529.34</v>
      </c>
      <c r="D27" s="328">
        <f aca="true" t="shared" si="2" ref="D27:E29">D9+(D15-D21)</f>
        <v>916041.51</v>
      </c>
      <c r="E27" s="328">
        <f t="shared" si="2"/>
        <v>1292329.06</v>
      </c>
      <c r="F27" s="328" t="e">
        <f>F9+(F15-F21)</f>
        <v>#REF!</v>
      </c>
      <c r="G27" s="328" t="e">
        <f>SUM(B27:F27)</f>
        <v>#REF!</v>
      </c>
      <c r="H27" s="24" t="s">
        <v>193</v>
      </c>
      <c r="I27" s="22" t="s">
        <v>196</v>
      </c>
    </row>
    <row r="28" spans="1:8" s="22" customFormat="1" ht="15">
      <c r="A28" s="105" t="s">
        <v>218</v>
      </c>
      <c r="B28" s="328" t="e">
        <f t="shared" si="1"/>
        <v>#REF!</v>
      </c>
      <c r="C28" s="328" t="e">
        <f t="shared" si="1"/>
        <v>#REF!</v>
      </c>
      <c r="D28" s="328" t="e">
        <f t="shared" si="2"/>
        <v>#REF!</v>
      </c>
      <c r="E28" s="328">
        <f t="shared" si="2"/>
        <v>70972.57</v>
      </c>
      <c r="F28" s="328" t="e">
        <f>F10+(F16-F22)</f>
        <v>#REF!</v>
      </c>
      <c r="G28" s="328" t="e">
        <f>SUM(B28:F28)</f>
        <v>#REF!</v>
      </c>
      <c r="H28" s="24" t="s">
        <v>194</v>
      </c>
    </row>
    <row r="29" spans="1:8" s="22" customFormat="1" ht="15">
      <c r="A29" s="105" t="s">
        <v>219</v>
      </c>
      <c r="B29" s="328" t="e">
        <f t="shared" si="1"/>
        <v>#REF!</v>
      </c>
      <c r="C29" s="328" t="e">
        <f t="shared" si="1"/>
        <v>#REF!</v>
      </c>
      <c r="D29" s="328" t="e">
        <f t="shared" si="2"/>
        <v>#REF!</v>
      </c>
      <c r="E29" s="328">
        <f t="shared" si="2"/>
        <v>0</v>
      </c>
      <c r="F29" s="328" t="e">
        <f>F11+(F17-F23)</f>
        <v>#REF!</v>
      </c>
      <c r="G29" s="328" t="e">
        <f>SUM(B29:F29)</f>
        <v>#REF!</v>
      </c>
      <c r="H29" s="24" t="s">
        <v>195</v>
      </c>
    </row>
    <row r="30" spans="1:9" ht="15.75" thickBot="1">
      <c r="A30" s="107" t="s">
        <v>205</v>
      </c>
      <c r="B30" s="337" t="e">
        <f>SUM(B27:B29)-1</f>
        <v>#REF!</v>
      </c>
      <c r="C30" s="337" t="e">
        <f>SUM(C27:C29)-1</f>
        <v>#REF!</v>
      </c>
      <c r="D30" s="337" t="e">
        <f>SUM(D27:D29)</f>
        <v>#REF!</v>
      </c>
      <c r="E30" s="337">
        <f>SUM(E27:E29)</f>
        <v>1363301.6300000001</v>
      </c>
      <c r="F30" s="337" t="e">
        <f>SUM(F27:F29)</f>
        <v>#REF!</v>
      </c>
      <c r="G30" s="337" t="e">
        <f>SUM(G27:G29)</f>
        <v>#REF!</v>
      </c>
      <c r="H30" s="126" t="e">
        <f>SUM(G27:G29)</f>
        <v>#REF!</v>
      </c>
      <c r="I30" s="108"/>
    </row>
    <row r="31" spans="4:8" ht="16.5" thickTop="1">
      <c r="D31" s="330"/>
      <c r="E31" s="330"/>
      <c r="F31" s="331"/>
      <c r="G31" s="331"/>
      <c r="H31" s="109">
        <f>+'[1]TB03-31-04(Final)'!E462</f>
        <v>4105799.4900000007</v>
      </c>
    </row>
    <row r="32" spans="4:8" ht="15.75">
      <c r="D32" s="330"/>
      <c r="E32" s="330"/>
      <c r="F32" s="331"/>
      <c r="G32" s="331"/>
      <c r="H32" s="109"/>
    </row>
    <row r="33" spans="1:7" ht="18.75" customHeight="1">
      <c r="A33" s="104" t="s">
        <v>256</v>
      </c>
      <c r="D33" s="342"/>
      <c r="E33" s="342"/>
      <c r="F33" s="342"/>
      <c r="G33" s="343" t="s">
        <v>254</v>
      </c>
    </row>
    <row r="34" spans="1:7" ht="15">
      <c r="A34" s="105" t="s">
        <v>217</v>
      </c>
      <c r="B34" s="125">
        <f>468189.06-222137.25</f>
        <v>246051.81</v>
      </c>
      <c r="C34" s="125">
        <f>468189.06-222137.25</f>
        <v>246051.81</v>
      </c>
      <c r="D34" s="125">
        <f>448199.18-670918.35</f>
        <v>-222719.16999999998</v>
      </c>
      <c r="E34" s="344">
        <v>0</v>
      </c>
      <c r="F34" s="344">
        <v>0</v>
      </c>
      <c r="G34" s="121">
        <f>SUM(B34:F34)</f>
        <v>269384.45</v>
      </c>
    </row>
    <row r="35" spans="1:7" ht="15">
      <c r="A35" s="105" t="s">
        <v>218</v>
      </c>
      <c r="B35" s="125">
        <f>175542.97-81939.83</f>
        <v>93603.14</v>
      </c>
      <c r="C35" s="125">
        <f>175542.97-81939.83</f>
        <v>93603.14</v>
      </c>
      <c r="D35" s="125">
        <f>180110.78-278566.43</f>
        <v>-98455.65</v>
      </c>
      <c r="E35" s="344">
        <v>0</v>
      </c>
      <c r="F35" s="344">
        <v>0</v>
      </c>
      <c r="G35" s="121">
        <f>SUM(B35:F35)</f>
        <v>88750.63</v>
      </c>
    </row>
    <row r="36" spans="1:7" ht="15">
      <c r="A36" s="105" t="s">
        <v>219</v>
      </c>
      <c r="B36" s="125">
        <f>3215.61-1526.93</f>
        <v>1688.68</v>
      </c>
      <c r="C36" s="125">
        <f>3215.61-1526.93</f>
        <v>1688.68</v>
      </c>
      <c r="D36" s="125">
        <f>3443.46-5433.83</f>
        <v>-1990.37</v>
      </c>
      <c r="E36" s="344">
        <v>0</v>
      </c>
      <c r="F36" s="344">
        <v>0</v>
      </c>
      <c r="G36" s="121">
        <f>SUM(B36:F36)</f>
        <v>1386.9900000000002</v>
      </c>
    </row>
    <row r="37" spans="1:7" ht="15.75" thickBot="1">
      <c r="A37" s="107" t="s">
        <v>205</v>
      </c>
      <c r="B37" s="337">
        <f aca="true" t="shared" si="3" ref="B37:G37">SUM(B34:B36)</f>
        <v>341343.63</v>
      </c>
      <c r="C37" s="337">
        <f t="shared" si="3"/>
        <v>341343.63</v>
      </c>
      <c r="D37" s="337">
        <f t="shared" si="3"/>
        <v>-323165.18999999994</v>
      </c>
      <c r="E37" s="346">
        <f t="shared" si="3"/>
        <v>0</v>
      </c>
      <c r="F37" s="346">
        <f t="shared" si="3"/>
        <v>0</v>
      </c>
      <c r="G37" s="337">
        <f t="shared" si="3"/>
        <v>359522.07</v>
      </c>
    </row>
    <row r="38" spans="1:7" s="136" customFormat="1" ht="16.5" thickTop="1">
      <c r="A38" s="299"/>
      <c r="B38" s="338"/>
      <c r="C38" s="338"/>
      <c r="D38" s="338"/>
      <c r="E38" s="338"/>
      <c r="F38" s="238"/>
      <c r="G38" s="238"/>
    </row>
    <row r="39" spans="1:8" ht="31.5" customHeight="1">
      <c r="A39" s="104" t="s">
        <v>96</v>
      </c>
      <c r="B39" s="319" t="s">
        <v>339</v>
      </c>
      <c r="C39" s="319" t="s">
        <v>339</v>
      </c>
      <c r="D39" s="319" t="s">
        <v>434</v>
      </c>
      <c r="E39" s="319" t="s">
        <v>39</v>
      </c>
      <c r="F39" s="319" t="s">
        <v>111</v>
      </c>
      <c r="G39" s="320" t="s">
        <v>78</v>
      </c>
      <c r="H39" s="250"/>
    </row>
    <row r="40" spans="2:8" ht="15.75">
      <c r="B40" s="310"/>
      <c r="C40" s="310"/>
      <c r="D40" s="315"/>
      <c r="E40" s="315"/>
      <c r="F40" s="317"/>
      <c r="G40" s="312"/>
      <c r="H40" s="251" t="e">
        <f>+'[1]TB03-31-04(Final)'!G455</f>
        <v>#REF!</v>
      </c>
    </row>
    <row r="41" spans="1:8" ht="12.75" customHeight="1">
      <c r="A41" s="105" t="s">
        <v>217</v>
      </c>
      <c r="B41" s="311">
        <f>+B27-B34</f>
        <v>142164.83000000002</v>
      </c>
      <c r="C41" s="311">
        <f aca="true" t="shared" si="4" ref="C41:F42">+C27-C34</f>
        <v>-3670581.15</v>
      </c>
      <c r="D41" s="311">
        <f t="shared" si="4"/>
        <v>1138760.68</v>
      </c>
      <c r="E41" s="311">
        <f t="shared" si="4"/>
        <v>1292329.06</v>
      </c>
      <c r="F41" s="311" t="e">
        <f t="shared" si="4"/>
        <v>#REF!</v>
      </c>
      <c r="G41" s="312" t="e">
        <f>SUM(C41:F41)</f>
        <v>#REF!</v>
      </c>
      <c r="H41" s="95"/>
    </row>
    <row r="42" spans="1:8" ht="12.75" customHeight="1">
      <c r="A42" s="105" t="s">
        <v>218</v>
      </c>
      <c r="B42" s="311" t="e">
        <f>+B28-B35</f>
        <v>#REF!</v>
      </c>
      <c r="C42" s="311" t="e">
        <f t="shared" si="4"/>
        <v>#REF!</v>
      </c>
      <c r="D42" s="311" t="e">
        <f t="shared" si="4"/>
        <v>#REF!</v>
      </c>
      <c r="E42" s="311">
        <f t="shared" si="4"/>
        <v>70972.57</v>
      </c>
      <c r="F42" s="311" t="e">
        <f t="shared" si="4"/>
        <v>#REF!</v>
      </c>
      <c r="G42" s="312" t="e">
        <f>SUM(C42:F42)</f>
        <v>#REF!</v>
      </c>
      <c r="H42" s="95"/>
    </row>
    <row r="43" spans="1:8" ht="15">
      <c r="A43" s="105" t="s">
        <v>219</v>
      </c>
      <c r="B43" s="311" t="e">
        <f>+B29-B36</f>
        <v>#REF!</v>
      </c>
      <c r="C43" s="311" t="e">
        <f>+C29-C36</f>
        <v>#REF!</v>
      </c>
      <c r="D43" s="311" t="e">
        <f>+D29-D36</f>
        <v>#REF!</v>
      </c>
      <c r="E43" s="311">
        <f>+E29-E35</f>
        <v>0</v>
      </c>
      <c r="F43" s="311" t="e">
        <f>+F29-F35</f>
        <v>#REF!</v>
      </c>
      <c r="G43" s="312" t="e">
        <f>SUM(C43:F43)</f>
        <v>#REF!</v>
      </c>
      <c r="H43" s="95"/>
    </row>
    <row r="44" spans="1:8" ht="15.75" thickBot="1">
      <c r="A44" s="107" t="s">
        <v>205</v>
      </c>
      <c r="B44" s="337" t="e">
        <f>SUM(B41:B43)-1</f>
        <v>#REF!</v>
      </c>
      <c r="C44" s="337" t="e">
        <f>SUM(C41:C43)-1</f>
        <v>#REF!</v>
      </c>
      <c r="D44" s="128" t="e">
        <f>SUM(D41:D43)</f>
        <v>#REF!</v>
      </c>
      <c r="E44" s="128">
        <f>SUM(E41:E43)</f>
        <v>1363301.6300000001</v>
      </c>
      <c r="F44" s="128" t="e">
        <f>SUM(F41:F43)</f>
        <v>#REF!</v>
      </c>
      <c r="G44" s="337" t="e">
        <f>SUM(G41:G43)+1</f>
        <v>#REF!</v>
      </c>
      <c r="H44" s="95"/>
    </row>
    <row r="45" spans="1:8" ht="16.5" thickTop="1">
      <c r="A45" s="107"/>
      <c r="D45" s="171"/>
      <c r="E45" s="171"/>
      <c r="F45" s="331"/>
      <c r="G45" s="96"/>
      <c r="H45" s="24"/>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15.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7" customWidth="1"/>
    <col min="2" max="2" width="18.28125" style="310" customWidth="1"/>
    <col min="3" max="3" width="16.57421875" style="310" customWidth="1"/>
    <col min="4" max="4" width="16.140625" style="317" customWidth="1"/>
    <col min="5" max="5" width="18.421875" style="317" customWidth="1"/>
    <col min="6" max="6" width="18.28125" style="317" customWidth="1"/>
    <col min="7" max="7" width="0.5625" style="317" hidden="1" customWidth="1"/>
    <col min="8" max="8" width="16.7109375" style="317" customWidth="1"/>
    <col min="9" max="9" width="17.140625" style="17" bestFit="1" customWidth="1"/>
    <col min="10" max="10" width="13.8515625" style="17" bestFit="1" customWidth="1"/>
    <col min="11" max="11" width="11.7109375" style="17" bestFit="1" customWidth="1"/>
    <col min="12" max="16384" width="9.140625" style="17" customWidth="1"/>
  </cols>
  <sheetData>
    <row r="1" spans="1:8" s="259" customFormat="1" ht="27.75">
      <c r="A1" s="1030" t="s">
        <v>77</v>
      </c>
      <c r="B1" s="1030"/>
      <c r="C1" s="1030"/>
      <c r="D1" s="1030"/>
      <c r="E1" s="1030"/>
      <c r="F1" s="1030"/>
      <c r="G1" s="1030"/>
      <c r="H1" s="1030"/>
    </row>
    <row r="2" spans="1:8" ht="19.5" customHeight="1">
      <c r="A2" s="1029"/>
      <c r="B2" s="1029"/>
      <c r="C2" s="1029"/>
      <c r="D2" s="1029"/>
      <c r="E2" s="1029"/>
      <c r="F2" s="1029"/>
      <c r="G2" s="1029"/>
      <c r="H2" s="1029"/>
    </row>
    <row r="3" spans="1:8" s="102" customFormat="1" ht="18.75">
      <c r="A3" s="1031" t="s">
        <v>211</v>
      </c>
      <c r="B3" s="1031"/>
      <c r="C3" s="1031"/>
      <c r="D3" s="1031"/>
      <c r="E3" s="1031"/>
      <c r="F3" s="1031"/>
      <c r="G3" s="1031"/>
      <c r="H3" s="1031"/>
    </row>
    <row r="4" spans="1:8" s="102" customFormat="1" ht="18.75">
      <c r="A4" s="1031" t="str">
        <f>+'(7)Premiums YTD8'!A4</f>
        <v>YTD PERIOD MARCH 31st, 2004</v>
      </c>
      <c r="B4" s="1031"/>
      <c r="C4" s="1031"/>
      <c r="D4" s="1031"/>
      <c r="E4" s="1031"/>
      <c r="F4" s="1031"/>
      <c r="G4" s="1031"/>
      <c r="H4" s="1031"/>
    </row>
    <row r="5" spans="1:8" s="102" customFormat="1" ht="16.5">
      <c r="A5" s="435"/>
      <c r="B5" s="367"/>
      <c r="C5" s="367"/>
      <c r="D5" s="436"/>
      <c r="E5" s="436"/>
      <c r="F5" s="436"/>
      <c r="G5" s="368"/>
      <c r="H5" s="436"/>
    </row>
    <row r="6" spans="1:8" ht="30" customHeight="1">
      <c r="A6" s="437"/>
      <c r="B6" s="549" t="s">
        <v>335</v>
      </c>
      <c r="C6" s="549" t="s">
        <v>339</v>
      </c>
      <c r="D6" s="549" t="s">
        <v>434</v>
      </c>
      <c r="E6" s="549" t="s">
        <v>39</v>
      </c>
      <c r="F6" s="549" t="s">
        <v>389</v>
      </c>
      <c r="G6" s="550" t="s">
        <v>59</v>
      </c>
      <c r="H6" s="550" t="s">
        <v>78</v>
      </c>
    </row>
    <row r="7" spans="1:8" s="126" customFormat="1" ht="15.75">
      <c r="A7" s="546" t="s">
        <v>212</v>
      </c>
      <c r="B7" s="438"/>
      <c r="C7" s="438"/>
      <c r="D7" s="439"/>
      <c r="E7" s="439"/>
      <c r="F7" s="439"/>
      <c r="G7" s="439"/>
      <c r="H7" s="439"/>
    </row>
    <row r="8" spans="1:8" s="126" customFormat="1" ht="15">
      <c r="A8" s="546" t="s">
        <v>213</v>
      </c>
      <c r="B8" s="366"/>
      <c r="C8" s="366"/>
      <c r="D8" s="439"/>
      <c r="E8" s="439"/>
      <c r="F8" s="439"/>
      <c r="G8" s="439"/>
      <c r="H8" s="439"/>
    </row>
    <row r="9" spans="1:9" ht="15">
      <c r="A9" s="547" t="s">
        <v>214</v>
      </c>
      <c r="B9" s="328">
        <f>+'[1]TB03-31-04(Final)'!F368</f>
        <v>1626410.46</v>
      </c>
      <c r="C9" s="328">
        <f>+'[1]TB03-31-04(Final)'!F367+'[1]TB03-31-04(Final)'!F398</f>
        <v>1371608.06</v>
      </c>
      <c r="D9" s="328">
        <f>+'[1]TB03-31-04(Final)'!F366+'[1]TB03-31-04(Final)'!F397</f>
        <v>-4174.74</v>
      </c>
      <c r="E9" s="328">
        <f>+'[1]TB03-31-04(Final)'!F365</f>
        <v>59250</v>
      </c>
      <c r="F9" s="328">
        <f>SUM('[1]TB03-31-04(Final)'!F361:F364)+'[1]TB03-31-04(Final)'!G396</f>
        <v>-100</v>
      </c>
      <c r="G9" s="460">
        <f>SUM(D9:F9)</f>
        <v>54975.26</v>
      </c>
      <c r="H9" s="460">
        <f>SUM(B9:F9)</f>
        <v>3052993.78</v>
      </c>
      <c r="I9" s="24"/>
    </row>
    <row r="10" spans="1:8" s="22" customFormat="1" ht="15">
      <c r="A10" s="547" t="s">
        <v>215</v>
      </c>
      <c r="B10" s="328">
        <f>+'[1]TB03-31-04(Final)'!F376</f>
        <v>628151.78</v>
      </c>
      <c r="C10" s="328">
        <f>+'[1]TB03-31-04(Final)'!F375+'[1]TB03-31-04(Final)'!F403</f>
        <v>69982.57</v>
      </c>
      <c r="D10" s="328">
        <f>+'[1]TB03-31-04(Final)'!F374+'[1]TB03-31-04(Final)'!F402</f>
        <v>0</v>
      </c>
      <c r="E10" s="328">
        <f>+'[1]TB03-31-04(Final)'!F373</f>
        <v>0</v>
      </c>
      <c r="F10" s="328" t="e">
        <f>SUM('[1]TB03-31-04(Final)'!F370:F372)+'[1]TB03-31-04(Final)'!G400</f>
        <v>#REF!</v>
      </c>
      <c r="G10" s="328" t="e">
        <f>SUM(D10:F10)</f>
        <v>#REF!</v>
      </c>
      <c r="H10" s="328" t="e">
        <f>SUM(B10:F10)</f>
        <v>#REF!</v>
      </c>
    </row>
    <row r="11" spans="1:8" s="22" customFormat="1" ht="15">
      <c r="A11" s="547" t="s">
        <v>216</v>
      </c>
      <c r="B11" s="328">
        <f>+'[1]TB03-31-04(Final)'!F383</f>
        <v>1229</v>
      </c>
      <c r="C11" s="328" t="e">
        <f>+'[1]TB03-31-04(Final)'!F382+'[1]TB03-31-04(Final)'!F385</f>
        <v>#REF!</v>
      </c>
      <c r="D11" s="328" t="e">
        <f>+'[1]TB03-31-04(Final)'!F384</f>
        <v>#REF!</v>
      </c>
      <c r="E11" s="328">
        <v>0</v>
      </c>
      <c r="F11" s="328">
        <f>+'[1]TB03-31-04(Final)'!F381</f>
        <v>0</v>
      </c>
      <c r="G11" s="328" t="e">
        <f>SUM(D11:F11)</f>
        <v>#REF!</v>
      </c>
      <c r="H11" s="494" t="e">
        <f>SUM(B11:F11)</f>
        <v>#REF!</v>
      </c>
    </row>
    <row r="12" spans="1:10" s="22" customFormat="1" ht="15.75" thickBot="1">
      <c r="A12" s="434" t="s">
        <v>205</v>
      </c>
      <c r="B12" s="329">
        <f>SUM(B9:B11)</f>
        <v>2255791.24</v>
      </c>
      <c r="C12" s="329" t="e">
        <f>SUM(C9:C11)</f>
        <v>#REF!</v>
      </c>
      <c r="D12" s="329" t="e">
        <f>SUM(D9:D11)</f>
        <v>#REF!</v>
      </c>
      <c r="E12" s="329">
        <f>SUM(E9:E11)</f>
        <v>59250</v>
      </c>
      <c r="F12" s="329" t="e">
        <f>SUM(F9:F11)+1</f>
        <v>#REF!</v>
      </c>
      <c r="G12" s="329" t="e">
        <f>SUM(G9:G11)</f>
        <v>#REF!</v>
      </c>
      <c r="H12" s="128" t="e">
        <f>SUM(B12:F12)-1</f>
        <v>#REF!</v>
      </c>
      <c r="J12" s="351"/>
    </row>
    <row r="13" spans="1:10" s="22" customFormat="1" ht="15.75" thickTop="1">
      <c r="A13" s="440"/>
      <c r="B13" s="125"/>
      <c r="C13" s="125"/>
      <c r="D13" s="328"/>
      <c r="E13" s="328"/>
      <c r="F13" s="328"/>
      <c r="G13" s="328"/>
      <c r="H13" s="328"/>
      <c r="I13" s="22">
        <f>+'[1]TB03-31-04(Final)'!G407</f>
        <v>3783761.3799999994</v>
      </c>
      <c r="J13" s="22" t="e">
        <f>+H12-I13</f>
        <v>#REF!</v>
      </c>
    </row>
    <row r="14" spans="1:9" s="22" customFormat="1" ht="15">
      <c r="A14" s="434" t="s">
        <v>300</v>
      </c>
      <c r="B14" s="125"/>
      <c r="C14" s="125"/>
      <c r="D14" s="537"/>
      <c r="E14" s="537"/>
      <c r="F14" s="537"/>
      <c r="G14" s="328"/>
      <c r="H14" s="328"/>
      <c r="I14" s="284"/>
    </row>
    <row r="15" spans="1:8" s="22" customFormat="1" ht="15">
      <c r="A15" s="547" t="s">
        <v>217</v>
      </c>
      <c r="B15" s="328">
        <f>+'[1](1)IBNR Cal13'!E27</f>
        <v>5669000.165311479</v>
      </c>
      <c r="C15" s="328">
        <f>+'[1](1)IBNR Cal13'!E21</f>
        <v>388216.64</v>
      </c>
      <c r="D15" s="328">
        <f>+'[1](1)IBNR Cal13'!E15</f>
        <v>86015</v>
      </c>
      <c r="E15" s="328">
        <f>+'[1](1)IBNR Cal13'!E9</f>
        <v>93733</v>
      </c>
      <c r="F15" s="328" t="e">
        <f>+'[1](1)IBNR Cal13'!#REF!</f>
        <v>#REF!</v>
      </c>
      <c r="G15" s="328" t="e">
        <f>'[1](1)IBNR Cal13'!#REF!</f>
        <v>#REF!</v>
      </c>
      <c r="H15" s="328" t="e">
        <f>SUM(B15:F15)</f>
        <v>#REF!</v>
      </c>
    </row>
    <row r="16" spans="1:8" s="22" customFormat="1" ht="15">
      <c r="A16" s="547" t="s">
        <v>218</v>
      </c>
      <c r="B16" s="328">
        <f>+'[1](1)IBNR Cal13'!E28</f>
        <v>848086.9279600321</v>
      </c>
      <c r="C16" s="328">
        <f>+'[1](1)IBNR Cal13'!E22</f>
        <v>137574.07</v>
      </c>
      <c r="D16" s="328">
        <f>+'[1](1)IBNR Cal13'!E16</f>
        <v>6011</v>
      </c>
      <c r="E16" s="328">
        <v>0</v>
      </c>
      <c r="F16" s="328">
        <f>10</f>
        <v>10</v>
      </c>
      <c r="G16" s="328" t="e">
        <f>'[1](1)IBNR Cal13'!#REF!</f>
        <v>#REF!</v>
      </c>
      <c r="H16" s="328">
        <f>SUM(B16:F16)</f>
        <v>991681.9979600322</v>
      </c>
    </row>
    <row r="17" spans="1:8" s="22" customFormat="1" ht="15">
      <c r="A17" s="547" t="s">
        <v>219</v>
      </c>
      <c r="B17" s="328">
        <f>'[1](1)IBNR Cal13'!E29</f>
        <v>13148.069670959347</v>
      </c>
      <c r="C17" s="328">
        <f>'[1](1)IBNR Cal13'!E23</f>
        <v>0</v>
      </c>
      <c r="D17" s="328">
        <f>'[1](1)IBNR Cal13'!E17</f>
        <v>0</v>
      </c>
      <c r="E17" s="328">
        <f>+'[1](1)IBNR Cal13'!E11</f>
        <v>0</v>
      </c>
      <c r="F17" s="328" t="e">
        <f>+'[1](1)IBNR Cal13'!#REF!</f>
        <v>#REF!</v>
      </c>
      <c r="G17" s="328" t="e">
        <f>'[1](1)IBNR Cal13'!#REF!</f>
        <v>#REF!</v>
      </c>
      <c r="H17" s="328" t="e">
        <f>SUM(B17:F17)-1</f>
        <v>#REF!</v>
      </c>
    </row>
    <row r="18" spans="1:9" s="22" customFormat="1" ht="15.75" thickBot="1">
      <c r="A18" s="434" t="s">
        <v>205</v>
      </c>
      <c r="B18" s="329">
        <f>SUM(B15:B17)-1</f>
        <v>6530234.16294247</v>
      </c>
      <c r="C18" s="329">
        <f>SUM(C15:C17)</f>
        <v>525790.71</v>
      </c>
      <c r="D18" s="329">
        <f>SUM(D15:D17)</f>
        <v>92026</v>
      </c>
      <c r="E18" s="329">
        <f>SUM(E15:E17)</f>
        <v>93733</v>
      </c>
      <c r="F18" s="329" t="e">
        <f>SUM(F15:F17)</f>
        <v>#REF!</v>
      </c>
      <c r="G18" s="329" t="e">
        <f>SUM(G15:G17)</f>
        <v>#REF!</v>
      </c>
      <c r="H18" s="128" t="e">
        <f>SUM(B18:F18)</f>
        <v>#REF!</v>
      </c>
      <c r="I18" s="22">
        <f>+'[1](1)IBNR Cal13'!E42</f>
        <v>7846756.2299999995</v>
      </c>
    </row>
    <row r="19" spans="1:8" s="22" customFormat="1" ht="15.75" thickTop="1">
      <c r="A19" s="440"/>
      <c r="B19" s="125"/>
      <c r="C19" s="125"/>
      <c r="D19" s="328"/>
      <c r="E19" s="328"/>
      <c r="F19" s="328"/>
      <c r="G19" s="328"/>
      <c r="H19" s="328"/>
    </row>
    <row r="20" spans="1:8" s="22" customFormat="1" ht="15">
      <c r="A20" s="434" t="s">
        <v>28</v>
      </c>
      <c r="B20" s="309"/>
      <c r="C20" s="309"/>
      <c r="D20" s="328"/>
      <c r="E20" s="328"/>
      <c r="F20" s="328"/>
      <c r="G20" s="328"/>
      <c r="H20" s="328"/>
    </row>
    <row r="21" spans="1:8" s="22" customFormat="1" ht="15">
      <c r="A21" s="547" t="s">
        <v>217</v>
      </c>
      <c r="B21" s="125">
        <v>0</v>
      </c>
      <c r="C21" s="125">
        <v>3812746</v>
      </c>
      <c r="D21" s="328">
        <v>796384</v>
      </c>
      <c r="E21" s="328">
        <v>173012</v>
      </c>
      <c r="F21" s="328">
        <f>4+76330</f>
        <v>76334</v>
      </c>
      <c r="G21" s="328">
        <f>+'[3]Losses Incurred QTR'!$F$21</f>
        <v>149640.16</v>
      </c>
      <c r="H21" s="328">
        <f>SUM(B21:F21)</f>
        <v>4858476</v>
      </c>
    </row>
    <row r="22" spans="1:8" s="22" customFormat="1" ht="15">
      <c r="A22" s="547" t="s">
        <v>218</v>
      </c>
      <c r="B22" s="125">
        <v>0</v>
      </c>
      <c r="C22" s="125">
        <v>582573</v>
      </c>
      <c r="D22" s="328">
        <v>136274</v>
      </c>
      <c r="E22" s="328">
        <v>-982</v>
      </c>
      <c r="F22" s="328">
        <f>366+1967</f>
        <v>2333</v>
      </c>
      <c r="G22" s="328">
        <f>+'[3]Losses Incurred QTR'!$F$22</f>
        <v>60667.2</v>
      </c>
      <c r="H22" s="328">
        <f>SUM(B22:F22)-1</f>
        <v>720197</v>
      </c>
    </row>
    <row r="23" spans="1:8" s="22" customFormat="1" ht="15">
      <c r="A23" s="547" t="s">
        <v>219</v>
      </c>
      <c r="B23" s="125">
        <v>0</v>
      </c>
      <c r="C23" s="125">
        <v>8804</v>
      </c>
      <c r="D23" s="328">
        <v>0</v>
      </c>
      <c r="E23" s="328">
        <v>0</v>
      </c>
      <c r="F23" s="328">
        <v>0</v>
      </c>
      <c r="G23" s="328">
        <f>+'[3]Losses Incurred QTR'!$F$23</f>
        <v>-8764</v>
      </c>
      <c r="H23" s="328">
        <f>SUM(B23:F23)</f>
        <v>8804</v>
      </c>
    </row>
    <row r="24" spans="1:9" s="22" customFormat="1" ht="15.75" thickBot="1">
      <c r="A24" s="434" t="s">
        <v>205</v>
      </c>
      <c r="B24" s="137">
        <f aca="true" t="shared" si="0" ref="B24:G24">SUM(B21:B23)</f>
        <v>0</v>
      </c>
      <c r="C24" s="137">
        <f t="shared" si="0"/>
        <v>4404123</v>
      </c>
      <c r="D24" s="329">
        <f t="shared" si="0"/>
        <v>932658</v>
      </c>
      <c r="E24" s="329">
        <f t="shared" si="0"/>
        <v>172030</v>
      </c>
      <c r="F24" s="329">
        <f t="shared" si="0"/>
        <v>78667</v>
      </c>
      <c r="G24" s="329">
        <f t="shared" si="0"/>
        <v>201543.36</v>
      </c>
      <c r="H24" s="128">
        <f>SUM(B24:F24)-1</f>
        <v>5587477</v>
      </c>
      <c r="I24" s="22">
        <f>SUM(H21:H23)</f>
        <v>5587477</v>
      </c>
    </row>
    <row r="25" spans="1:9" s="22" customFormat="1" ht="15.75" thickTop="1">
      <c r="A25" s="440"/>
      <c r="B25" s="125"/>
      <c r="C25" s="125"/>
      <c r="D25" s="328"/>
      <c r="E25" s="328"/>
      <c r="F25" s="328"/>
      <c r="G25" s="328"/>
      <c r="H25" s="328"/>
      <c r="I25" s="22">
        <f>+I18-I24</f>
        <v>2259279.2299999995</v>
      </c>
    </row>
    <row r="26" spans="1:9" s="22" customFormat="1" ht="15">
      <c r="A26" s="434" t="s">
        <v>255</v>
      </c>
      <c r="B26" s="125"/>
      <c r="C26" s="125"/>
      <c r="D26" s="328"/>
      <c r="E26" s="328"/>
      <c r="F26" s="328"/>
      <c r="G26" s="328"/>
      <c r="H26" s="328"/>
      <c r="I26" s="22" t="e">
        <f>+H12+I25</f>
        <v>#REF!</v>
      </c>
    </row>
    <row r="27" spans="1:8" s="22" customFormat="1" ht="15">
      <c r="A27" s="547" t="s">
        <v>217</v>
      </c>
      <c r="B27" s="125">
        <f>B9+(B15-B21)</f>
        <v>7295410.625311479</v>
      </c>
      <c r="C27" s="125">
        <f>C9+(C15-C21)</f>
        <v>-2052921.2999999998</v>
      </c>
      <c r="D27" s="328">
        <f aca="true" t="shared" si="1" ref="D27:E29">D9+(D15-D21)</f>
        <v>-714543.74</v>
      </c>
      <c r="E27" s="328">
        <f t="shared" si="1"/>
        <v>-20029</v>
      </c>
      <c r="F27" s="328" t="e">
        <f aca="true" t="shared" si="2" ref="F27:G29">F9+(F15-F21)</f>
        <v>#REF!</v>
      </c>
      <c r="G27" s="328" t="e">
        <f t="shared" si="2"/>
        <v>#REF!</v>
      </c>
      <c r="H27" s="328" t="e">
        <f>SUM(B27:F27)+1</f>
        <v>#REF!</v>
      </c>
    </row>
    <row r="28" spans="1:8" s="22" customFormat="1" ht="15">
      <c r="A28" s="547" t="s">
        <v>218</v>
      </c>
      <c r="B28" s="125">
        <f>B10+(B16-B22)</f>
        <v>1476238.7079600322</v>
      </c>
      <c r="C28" s="125">
        <f>C10+(C16-C22)</f>
        <v>-375016.36</v>
      </c>
      <c r="D28" s="328">
        <f t="shared" si="1"/>
        <v>-130263</v>
      </c>
      <c r="E28" s="328">
        <f t="shared" si="1"/>
        <v>982</v>
      </c>
      <c r="F28" s="328" t="e">
        <f t="shared" si="2"/>
        <v>#REF!</v>
      </c>
      <c r="G28" s="328" t="e">
        <f t="shared" si="2"/>
        <v>#REF!</v>
      </c>
      <c r="H28" s="328" t="e">
        <f>SUM(B28:F28)</f>
        <v>#REF!</v>
      </c>
    </row>
    <row r="29" spans="1:8" s="22" customFormat="1" ht="15">
      <c r="A29" s="547" t="s">
        <v>219</v>
      </c>
      <c r="B29" s="467">
        <f>B11+(B17-B23)</f>
        <v>14377.069670959347</v>
      </c>
      <c r="C29" s="467" t="e">
        <f>C11+(C17-C23)-1</f>
        <v>#REF!</v>
      </c>
      <c r="D29" s="328" t="e">
        <f t="shared" si="1"/>
        <v>#REF!</v>
      </c>
      <c r="E29" s="328">
        <f t="shared" si="1"/>
        <v>0</v>
      </c>
      <c r="F29" s="328" t="e">
        <f t="shared" si="2"/>
        <v>#REF!</v>
      </c>
      <c r="G29" s="328" t="e">
        <f t="shared" si="2"/>
        <v>#REF!</v>
      </c>
      <c r="H29" s="328" t="e">
        <f>SUM(B29:F29)</f>
        <v>#REF!</v>
      </c>
    </row>
    <row r="30" spans="1:10" ht="15.75" thickBot="1">
      <c r="A30" s="434" t="s">
        <v>205</v>
      </c>
      <c r="B30" s="337">
        <f aca="true" t="shared" si="3" ref="B30:G30">SUM(B27:B29)</f>
        <v>8786026.40294247</v>
      </c>
      <c r="C30" s="337" t="e">
        <f>SUM(C27:C29)</f>
        <v>#REF!</v>
      </c>
      <c r="D30" s="337" t="e">
        <f>SUM(D27:D29)+1</f>
        <v>#REF!</v>
      </c>
      <c r="E30" s="337">
        <f t="shared" si="3"/>
        <v>-19047</v>
      </c>
      <c r="F30" s="337" t="e">
        <f>SUM(F27:F29)+1</f>
        <v>#REF!</v>
      </c>
      <c r="G30" s="337" t="e">
        <f t="shared" si="3"/>
        <v>#REF!</v>
      </c>
      <c r="H30" s="337" t="e">
        <f>SUM(H27:H29)-1</f>
        <v>#REF!</v>
      </c>
      <c r="I30" s="113" t="e">
        <f>SUM(H27:H29)</f>
        <v>#REF!</v>
      </c>
      <c r="J30" s="108"/>
    </row>
    <row r="31" spans="1:10" ht="15.75" thickTop="1">
      <c r="A31" s="437"/>
      <c r="B31" s="520"/>
      <c r="C31" s="520"/>
      <c r="D31" s="520"/>
      <c r="E31" s="520"/>
      <c r="F31" s="520"/>
      <c r="G31" s="520"/>
      <c r="H31" s="520"/>
      <c r="I31" s="113" t="e">
        <f>+I26-I30</f>
        <v>#REF!</v>
      </c>
      <c r="J31" s="108"/>
    </row>
    <row r="32" spans="1:10" ht="15">
      <c r="A32" s="437"/>
      <c r="B32" s="520"/>
      <c r="C32" s="520"/>
      <c r="D32" s="520"/>
      <c r="E32" s="520"/>
      <c r="F32" s="520"/>
      <c r="G32" s="520"/>
      <c r="H32" s="520"/>
      <c r="I32" s="113"/>
      <c r="J32" s="108"/>
    </row>
    <row r="33" spans="1:9" ht="29.25">
      <c r="A33" s="437"/>
      <c r="B33" s="551" t="s">
        <v>335</v>
      </c>
      <c r="C33" s="551" t="s">
        <v>339</v>
      </c>
      <c r="D33" s="552" t="s">
        <v>314</v>
      </c>
      <c r="E33" s="520"/>
      <c r="F33" s="520"/>
      <c r="G33" s="520"/>
      <c r="I33" s="109">
        <f>+'[1]TB03-31-04(Final)'!G462</f>
        <v>4105799.4900000007</v>
      </c>
    </row>
    <row r="34" spans="1:7" ht="18" customHeight="1">
      <c r="A34" s="548" t="s">
        <v>221</v>
      </c>
      <c r="B34" s="534"/>
      <c r="C34" s="534"/>
      <c r="D34" s="535"/>
      <c r="E34" s="535"/>
      <c r="F34" s="535"/>
      <c r="G34" s="460"/>
    </row>
    <row r="35" spans="1:7" ht="15">
      <c r="A35" s="547" t="s">
        <v>217</v>
      </c>
      <c r="B35" s="454">
        <f>+'[1](1)IBNR Cal13'!C27</f>
        <v>929888.0153114785</v>
      </c>
      <c r="C35" s="125">
        <v>0</v>
      </c>
      <c r="D35" s="351">
        <f>SUM(B35:C35)</f>
        <v>929888.0153114785</v>
      </c>
      <c r="E35" s="351"/>
      <c r="F35" s="351"/>
      <c r="G35" s="112"/>
    </row>
    <row r="36" spans="1:7" ht="15">
      <c r="A36" s="547" t="s">
        <v>218</v>
      </c>
      <c r="B36" s="125">
        <f>+'[1](1)IBNR Cal13'!C28</f>
        <v>302248.25796003203</v>
      </c>
      <c r="C36" s="125">
        <v>0</v>
      </c>
      <c r="D36" s="121">
        <f>SUM(B36:C36)</f>
        <v>302248.25796003203</v>
      </c>
      <c r="E36" s="301"/>
      <c r="F36" s="301"/>
      <c r="G36" s="121"/>
    </row>
    <row r="37" spans="1:7" ht="15">
      <c r="A37" s="547" t="s">
        <v>219</v>
      </c>
      <c r="B37" s="125">
        <f>+'[1](1)IBNR Cal13'!C29</f>
        <v>4148.069670959347</v>
      </c>
      <c r="C37" s="125">
        <v>0</v>
      </c>
      <c r="D37" s="121">
        <f>SUM(B37:C37)</f>
        <v>4148.069670959347</v>
      </c>
      <c r="E37" s="301"/>
      <c r="F37" s="301"/>
      <c r="G37" s="121"/>
    </row>
    <row r="38" spans="1:7" ht="15.75" thickBot="1">
      <c r="A38" s="434" t="s">
        <v>205</v>
      </c>
      <c r="B38" s="337">
        <f>SUM(B35:B37)</f>
        <v>1236284.34294247</v>
      </c>
      <c r="C38" s="128">
        <f>SUM(C35:C37)</f>
        <v>0</v>
      </c>
      <c r="D38" s="337">
        <f>SUM(D35:D37)+1</f>
        <v>1236285.34294247</v>
      </c>
      <c r="E38" s="536"/>
      <c r="F38" s="536"/>
      <c r="G38" s="112"/>
    </row>
    <row r="39" spans="1:9" ht="15.75" hidden="1" thickTop="1">
      <c r="A39" s="107"/>
      <c r="B39" s="313"/>
      <c r="C39" s="313"/>
      <c r="D39" s="313"/>
      <c r="E39" s="316"/>
      <c r="F39" s="316"/>
      <c r="G39" s="312"/>
      <c r="H39" s="314"/>
      <c r="I39" s="250"/>
    </row>
    <row r="40" spans="1:9" ht="15.75" thickTop="1">
      <c r="A40" s="107"/>
      <c r="B40" s="313"/>
      <c r="C40" s="313"/>
      <c r="D40" s="313"/>
      <c r="E40" s="316"/>
      <c r="F40" s="316"/>
      <c r="G40" s="312"/>
      <c r="H40" s="314"/>
      <c r="I40" s="250"/>
    </row>
    <row r="41" spans="1:9" ht="31.5" customHeight="1">
      <c r="A41" s="104"/>
      <c r="B41" s="319"/>
      <c r="C41" s="319"/>
      <c r="D41" s="319"/>
      <c r="E41" s="319"/>
      <c r="F41" s="319"/>
      <c r="G41" s="320"/>
      <c r="H41" s="320"/>
      <c r="I41" s="250"/>
    </row>
    <row r="42" spans="4:9" ht="15.75">
      <c r="D42" s="315"/>
      <c r="E42" s="315"/>
      <c r="G42" s="312"/>
      <c r="H42" s="312"/>
      <c r="I42" s="251"/>
    </row>
    <row r="43" spans="1:9" ht="12.75" customHeight="1">
      <c r="A43" s="105"/>
      <c r="B43" s="311"/>
      <c r="C43" s="311"/>
      <c r="D43" s="311"/>
      <c r="E43" s="311"/>
      <c r="F43" s="311"/>
      <c r="G43" s="312"/>
      <c r="H43" s="312"/>
      <c r="I43" s="95"/>
    </row>
    <row r="44" spans="1:9" ht="12.75" customHeight="1">
      <c r="A44" s="105"/>
      <c r="B44" s="311"/>
      <c r="C44" s="311"/>
      <c r="D44" s="311"/>
      <c r="E44" s="311"/>
      <c r="F44" s="311"/>
      <c r="G44" s="312"/>
      <c r="H44" s="312"/>
      <c r="I44" s="95"/>
    </row>
    <row r="45" spans="1:9" ht="15">
      <c r="A45" s="105"/>
      <c r="B45" s="311"/>
      <c r="C45" s="311"/>
      <c r="D45" s="311"/>
      <c r="E45" s="311"/>
      <c r="F45" s="311"/>
      <c r="G45" s="312"/>
      <c r="H45" s="312"/>
      <c r="I45" s="95"/>
    </row>
    <row r="46" spans="1:9" ht="15.75" thickBot="1">
      <c r="A46" s="107"/>
      <c r="B46" s="337"/>
      <c r="C46" s="337"/>
      <c r="D46" s="337"/>
      <c r="E46" s="337"/>
      <c r="F46" s="337"/>
      <c r="G46" s="345"/>
      <c r="H46" s="337"/>
      <c r="I46" s="95"/>
    </row>
    <row r="47" spans="1:9" ht="16.5" thickTop="1">
      <c r="A47" s="105"/>
      <c r="G47" s="312"/>
      <c r="H47" s="312"/>
      <c r="I47" s="95"/>
    </row>
    <row r="48" spans="1:9" ht="15.75">
      <c r="A48" s="107"/>
      <c r="F48" s="314"/>
      <c r="G48" s="312"/>
      <c r="H48" s="312"/>
      <c r="I48" s="95"/>
    </row>
    <row r="50" spans="4:6" ht="15.75">
      <c r="D50" s="318" t="s">
        <v>425</v>
      </c>
      <c r="E50" s="318" t="s">
        <v>425</v>
      </c>
      <c r="F50" s="318" t="s">
        <v>425</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16.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7" customWidth="1"/>
    <col min="2" max="2" width="19.57421875" style="17" customWidth="1"/>
    <col min="3" max="3" width="17.8515625" style="171" customWidth="1"/>
    <col min="4" max="4" width="16.28125" style="126" customWidth="1"/>
    <col min="5" max="5" width="16.7109375" style="126" customWidth="1"/>
    <col min="6" max="6" width="17.421875" style="126" customWidth="1"/>
    <col min="7" max="7" width="15.57421875" style="147" hidden="1" customWidth="1"/>
    <col min="8" max="8" width="17.421875" style="126" customWidth="1"/>
    <col min="9" max="9" width="13.57421875" style="24" customWidth="1"/>
    <col min="10" max="10" width="11.8515625" style="17" customWidth="1"/>
    <col min="11" max="11" width="9.57421875" style="17" bestFit="1" customWidth="1"/>
    <col min="12" max="16384" width="9.140625" style="17" customWidth="1"/>
  </cols>
  <sheetData>
    <row r="1" spans="1:8" s="257" customFormat="1" ht="26.25">
      <c r="A1" s="441" t="s">
        <v>77</v>
      </c>
      <c r="B1" s="441"/>
      <c r="C1" s="410"/>
      <c r="D1" s="442"/>
      <c r="E1" s="442"/>
      <c r="F1" s="443"/>
      <c r="G1" s="443"/>
      <c r="H1" s="443"/>
    </row>
    <row r="2" spans="1:9" ht="18.75">
      <c r="A2" s="412"/>
      <c r="B2" s="412"/>
      <c r="C2" s="432"/>
      <c r="D2" s="432"/>
      <c r="E2" s="432"/>
      <c r="F2" s="413"/>
      <c r="G2" s="401"/>
      <c r="H2" s="401"/>
      <c r="I2" s="17"/>
    </row>
    <row r="3" spans="1:9" ht="15">
      <c r="A3" s="444" t="s">
        <v>222</v>
      </c>
      <c r="B3" s="444"/>
      <c r="C3" s="415"/>
      <c r="D3" s="445"/>
      <c r="E3" s="445"/>
      <c r="F3" s="401"/>
      <c r="G3" s="401"/>
      <c r="H3" s="401"/>
      <c r="I3" s="17"/>
    </row>
    <row r="4" spans="1:9" ht="15">
      <c r="A4" s="444" t="s">
        <v>223</v>
      </c>
      <c r="B4" s="444"/>
      <c r="C4" s="415"/>
      <c r="D4" s="445"/>
      <c r="E4" s="445"/>
      <c r="F4" s="401"/>
      <c r="G4" s="401"/>
      <c r="H4" s="401"/>
      <c r="I4" s="17"/>
    </row>
    <row r="5" spans="1:9" ht="15">
      <c r="A5" s="444" t="str">
        <f>+'(6)Losses Incurred YTD10'!A4</f>
        <v>YTD PERIOD MARCH 31st, 2004</v>
      </c>
      <c r="B5" s="444"/>
      <c r="C5" s="415"/>
      <c r="D5" s="445"/>
      <c r="E5" s="445"/>
      <c r="F5" s="401"/>
      <c r="G5" s="401"/>
      <c r="H5" s="401"/>
      <c r="I5" s="17"/>
    </row>
    <row r="6" spans="1:9" ht="15.75">
      <c r="A6" s="446"/>
      <c r="B6" s="446"/>
      <c r="C6" s="433"/>
      <c r="D6" s="401"/>
      <c r="E6" s="401"/>
      <c r="F6" s="401"/>
      <c r="G6" s="401"/>
      <c r="H6" s="401"/>
      <c r="I6" s="17"/>
    </row>
    <row r="7" spans="1:9" ht="29.25">
      <c r="A7" s="447"/>
      <c r="B7" s="364" t="s">
        <v>335</v>
      </c>
      <c r="C7" s="364" t="s">
        <v>339</v>
      </c>
      <c r="D7" s="448" t="s">
        <v>434</v>
      </c>
      <c r="E7" s="448" t="s">
        <v>39</v>
      </c>
      <c r="F7" s="448" t="s">
        <v>389</v>
      </c>
      <c r="G7" s="448" t="s">
        <v>59</v>
      </c>
      <c r="H7" s="449" t="s">
        <v>78</v>
      </c>
      <c r="I7" s="17"/>
    </row>
    <row r="8" spans="1:9" ht="29.25">
      <c r="A8" s="450" t="s">
        <v>224</v>
      </c>
      <c r="B8" s="363"/>
      <c r="C8" s="363"/>
      <c r="D8" s="371"/>
      <c r="E8" s="371"/>
      <c r="F8" s="371"/>
      <c r="G8" s="371"/>
      <c r="H8" s="451"/>
      <c r="I8" s="17"/>
    </row>
    <row r="9" spans="1:39" ht="15">
      <c r="A9" s="361" t="s">
        <v>202</v>
      </c>
      <c r="B9" s="351">
        <f>+'(1)ULEP-YTD17'!G41</f>
        <v>148427.47</v>
      </c>
      <c r="C9" s="351">
        <f>+'(1)ULEP-YTD17'!G35</f>
        <v>91951.54000000001</v>
      </c>
      <c r="D9" s="351">
        <f>+'(1)ULEP-YTD17'!G29</f>
        <v>784</v>
      </c>
      <c r="E9" s="351">
        <f>+'(1)ULEP-YTD17'!G23</f>
        <v>3187.02</v>
      </c>
      <c r="F9" s="351" t="e">
        <f>+'(1)ULEP-YTD17'!G17</f>
        <v>#REF!</v>
      </c>
      <c r="G9" s="351" t="e">
        <f>#REF!+#REF!</f>
        <v>#REF!</v>
      </c>
      <c r="H9" s="351" t="e">
        <f>SUM(B9:F9)</f>
        <v>#REF!</v>
      </c>
      <c r="I9" s="45"/>
      <c r="J9" s="45"/>
      <c r="K9" s="45"/>
      <c r="L9" s="45"/>
      <c r="M9" s="45"/>
      <c r="N9" s="45"/>
      <c r="O9" s="45"/>
      <c r="P9" s="45"/>
      <c r="Q9" s="45"/>
      <c r="R9" s="45"/>
      <c r="S9" s="45"/>
      <c r="T9" s="45"/>
      <c r="U9" s="45"/>
      <c r="V9" s="45"/>
      <c r="W9" s="45"/>
      <c r="X9" s="45"/>
      <c r="Y9" s="45"/>
      <c r="Z9" s="45"/>
      <c r="AA9" s="45"/>
      <c r="AB9" s="45"/>
      <c r="AC9" s="45"/>
      <c r="AD9" s="45"/>
      <c r="AE9" s="45"/>
      <c r="AF9" s="45"/>
      <c r="AG9" s="45"/>
      <c r="AH9" s="45"/>
      <c r="AI9" s="45"/>
      <c r="AJ9" s="45"/>
      <c r="AK9" s="45"/>
      <c r="AL9" s="45"/>
      <c r="AM9" s="45"/>
    </row>
    <row r="10" spans="1:39" s="22" customFormat="1" ht="15">
      <c r="A10" s="365" t="s">
        <v>203</v>
      </c>
      <c r="B10" s="121">
        <f>+'(1)ULEP-YTD17'!G42</f>
        <v>145662.99</v>
      </c>
      <c r="C10" s="121">
        <f>+'(1)ULEP-YTD17'!G36</f>
        <v>39257.229999999996</v>
      </c>
      <c r="D10" s="121">
        <f>+'(1)ULEP-YTD17'!G30</f>
        <v>254</v>
      </c>
      <c r="E10" s="121">
        <f>+'(1)ULEP-YTD17'!G24</f>
        <v>0</v>
      </c>
      <c r="F10" s="121" t="e">
        <f>+'(1)ULEP-YTD17'!G18</f>
        <v>#REF!</v>
      </c>
      <c r="G10" s="121" t="e">
        <f>#REF!+#REF!</f>
        <v>#REF!</v>
      </c>
      <c r="H10" s="121" t="e">
        <f>SUM(B10:F10)</f>
        <v>#REF!</v>
      </c>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row>
    <row r="11" spans="1:39" s="22" customFormat="1" ht="15">
      <c r="A11" s="365" t="s">
        <v>204</v>
      </c>
      <c r="B11" s="121">
        <f>+'(1)ULEP-YTD17'!F43</f>
        <v>45.77</v>
      </c>
      <c r="C11" s="121">
        <f>+'(1)ULEP-YTD17'!G37</f>
        <v>0</v>
      </c>
      <c r="D11" s="121">
        <v>0</v>
      </c>
      <c r="E11" s="121">
        <f>+'(1)ULEP-YTD17'!G31</f>
        <v>1047.62</v>
      </c>
      <c r="F11" s="121">
        <f>+'(1)ULEP-YTD17'!G25</f>
        <v>-374.81</v>
      </c>
      <c r="G11" s="121">
        <v>0</v>
      </c>
      <c r="H11" s="121">
        <f>SUM(B11:F11)</f>
        <v>718.5799999999999</v>
      </c>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row>
    <row r="12" spans="1:39" s="22" customFormat="1" ht="15.75" thickBot="1">
      <c r="A12" s="452" t="s">
        <v>205</v>
      </c>
      <c r="B12" s="329">
        <f aca="true" t="shared" si="0" ref="B12:G12">SUM(B9:B11)</f>
        <v>294136.23</v>
      </c>
      <c r="C12" s="329">
        <f t="shared" si="0"/>
        <v>131208.77000000002</v>
      </c>
      <c r="D12" s="329">
        <f t="shared" si="0"/>
        <v>1038</v>
      </c>
      <c r="E12" s="329">
        <f t="shared" si="0"/>
        <v>4234.639999999999</v>
      </c>
      <c r="F12" s="329" t="e">
        <f t="shared" si="0"/>
        <v>#REF!</v>
      </c>
      <c r="G12" s="329" t="e">
        <f t="shared" si="0"/>
        <v>#REF!</v>
      </c>
      <c r="H12" s="128" t="e">
        <f>SUM(B12:F12)</f>
        <v>#REF!</v>
      </c>
      <c r="I12" s="110" t="e">
        <f>+'(1)ULEP-YTD17'!G49</f>
        <v>#REF!</v>
      </c>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row>
    <row r="13" spans="1:39" s="22" customFormat="1" ht="15.75" thickTop="1">
      <c r="A13" s="361"/>
      <c r="B13" s="125"/>
      <c r="C13" s="125"/>
      <c r="D13" s="121"/>
      <c r="E13" s="121"/>
      <c r="F13" s="121"/>
      <c r="G13" s="121"/>
      <c r="H13" s="121"/>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row>
    <row r="14" spans="1:39" s="22" customFormat="1" ht="29.25">
      <c r="A14" s="453" t="s">
        <v>302</v>
      </c>
      <c r="B14" s="125"/>
      <c r="C14" s="125"/>
      <c r="D14" s="121"/>
      <c r="E14" s="121"/>
      <c r="F14" s="121"/>
      <c r="G14" s="121"/>
      <c r="H14" s="121"/>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row>
    <row r="15" spans="1:39" s="22" customFormat="1" ht="15">
      <c r="A15" s="361" t="s">
        <v>202</v>
      </c>
      <c r="B15" s="121">
        <f>'[1](3)Cal. UPLR14'!C30</f>
        <v>600445.509405</v>
      </c>
      <c r="C15" s="121">
        <f>'[1](3)Cal. UPLR14'!D30</f>
        <v>49187.048288</v>
      </c>
      <c r="D15" s="121">
        <f>'[1](3)Cal. UPLR14'!E30</f>
        <v>10898.1005</v>
      </c>
      <c r="E15" s="121">
        <f>'[1](3)Cal. UPLR14'!F30</f>
        <v>11875.9711</v>
      </c>
      <c r="F15" s="125" t="e">
        <f>'[1](3)Cal. UPLR14'!#REF!</f>
        <v>#REF!</v>
      </c>
      <c r="G15" s="121" t="e">
        <f>'[1](3)Cal. UPLR14'!#REF!</f>
        <v>#REF!</v>
      </c>
      <c r="H15" s="121" t="e">
        <f>SUM(B15:F15)</f>
        <v>#REF!</v>
      </c>
      <c r="I15" s="110"/>
      <c r="J15" s="110"/>
      <c r="K15" s="110"/>
      <c r="L15" s="110"/>
      <c r="M15" s="110"/>
      <c r="N15" s="110"/>
      <c r="O15" s="110"/>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row>
    <row r="16" spans="1:39" s="22" customFormat="1" ht="15">
      <c r="A16" s="365" t="s">
        <v>203</v>
      </c>
      <c r="B16" s="121">
        <f>'[1](3)Cal. UPLR14'!C31</f>
        <v>69157.759489</v>
      </c>
      <c r="C16" s="121">
        <f>'[1](3)Cal. UPLR14'!D31</f>
        <v>17430.634669</v>
      </c>
      <c r="D16" s="121">
        <f>'[1](3)Cal. UPLR14'!E31+1</f>
        <v>762.5936999999999</v>
      </c>
      <c r="E16" s="121">
        <v>0</v>
      </c>
      <c r="F16" s="121">
        <v>0</v>
      </c>
      <c r="G16" s="121" t="e">
        <f>'[1](3)Cal. UPLR14'!#REF!</f>
        <v>#REF!</v>
      </c>
      <c r="H16" s="121">
        <f>SUM(B16:F16)</f>
        <v>87350.98785800001</v>
      </c>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row>
    <row r="17" spans="1:39" s="22" customFormat="1" ht="15">
      <c r="A17" s="365" t="s">
        <v>204</v>
      </c>
      <c r="B17" s="121">
        <f>'[1](3)Cal. UPLR14'!C32</f>
        <v>1140.3</v>
      </c>
      <c r="C17" s="121">
        <f>'[1](3)Cal. UPLR14'!D32</f>
        <v>0</v>
      </c>
      <c r="D17" s="121">
        <f>'[1](3)Cal. UPLR14'!E32</f>
        <v>0</v>
      </c>
      <c r="E17" s="121">
        <f>'[1](3)Cal. UPLR14'!F32</f>
        <v>0</v>
      </c>
      <c r="F17" s="121" t="e">
        <f>'[1](3)Cal. UPLR14'!#REF!</f>
        <v>#REF!</v>
      </c>
      <c r="G17" s="121" t="e">
        <f>'[1](3)Cal. UPLR14'!#REF!</f>
        <v>#REF!</v>
      </c>
      <c r="H17" s="121" t="e">
        <f>SUM(B17:F17)</f>
        <v>#REF!</v>
      </c>
      <c r="I17" s="110"/>
      <c r="J17" s="110"/>
      <c r="K17" s="110"/>
      <c r="L17" s="110"/>
      <c r="M17" s="110"/>
      <c r="N17" s="110"/>
      <c r="O17" s="110"/>
      <c r="P17" s="110"/>
      <c r="Q17" s="110"/>
      <c r="R17" s="110"/>
      <c r="S17" s="110"/>
      <c r="T17" s="110"/>
      <c r="U17" s="110"/>
      <c r="V17" s="110"/>
      <c r="W17" s="110"/>
      <c r="X17" s="110"/>
      <c r="Y17" s="110"/>
      <c r="Z17" s="110"/>
      <c r="AA17" s="110"/>
      <c r="AB17" s="110"/>
      <c r="AC17" s="110"/>
      <c r="AD17" s="110"/>
      <c r="AE17" s="110"/>
      <c r="AF17" s="110"/>
      <c r="AG17" s="110"/>
      <c r="AH17" s="110"/>
      <c r="AI17" s="110"/>
      <c r="AJ17" s="110"/>
      <c r="AK17" s="110"/>
      <c r="AL17" s="110"/>
      <c r="AM17" s="110"/>
    </row>
    <row r="18" spans="1:39" s="22" customFormat="1" ht="15.75" thickBot="1">
      <c r="A18" s="452" t="s">
        <v>205</v>
      </c>
      <c r="B18" s="329">
        <f>'[1](3)Cal. UPLR14'!C33</f>
        <v>670743.568894</v>
      </c>
      <c r="C18" s="329">
        <f>'[1](3)Cal. UPLR14'!D33</f>
        <v>66617.682957</v>
      </c>
      <c r="D18" s="329">
        <f>'[1](3)Cal. UPLR14'!E33</f>
        <v>11659.6942</v>
      </c>
      <c r="E18" s="329">
        <f>'[1](3)Cal. UPLR14'!F33</f>
        <v>11876.9847</v>
      </c>
      <c r="F18" s="329" t="e">
        <f>'[1](3)Cal. UPLR14'!#REF!</f>
        <v>#REF!</v>
      </c>
      <c r="G18" s="329" t="e">
        <f>'[1](3)Cal. UPLR14'!#REF!</f>
        <v>#REF!</v>
      </c>
      <c r="H18" s="128" t="e">
        <f>SUM(B18:F18)</f>
        <v>#REF!</v>
      </c>
      <c r="I18" s="110">
        <f>+'[1](3)Cal. UPLR14'!G33</f>
        <v>785337.2508590003</v>
      </c>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row>
    <row r="19" spans="1:39" s="22" customFormat="1" ht="15.75" thickTop="1">
      <c r="A19" s="361"/>
      <c r="B19" s="125"/>
      <c r="C19" s="125"/>
      <c r="D19" s="121"/>
      <c r="E19" s="121"/>
      <c r="F19" s="121"/>
      <c r="G19" s="121"/>
      <c r="H19" s="121"/>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0"/>
      <c r="AL19" s="110"/>
      <c r="AM19" s="110"/>
    </row>
    <row r="20" spans="1:39" s="22" customFormat="1" ht="29.25">
      <c r="A20" s="453" t="s">
        <v>27</v>
      </c>
      <c r="B20" s="309" t="s">
        <v>76</v>
      </c>
      <c r="C20" s="309" t="s">
        <v>76</v>
      </c>
      <c r="D20" s="538"/>
      <c r="E20" s="538"/>
      <c r="F20" s="538"/>
      <c r="G20" s="121"/>
      <c r="H20" s="121"/>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row>
    <row r="21" spans="1:39" s="22" customFormat="1" ht="15">
      <c r="A21" s="361" t="s">
        <v>202</v>
      </c>
      <c r="B21" s="125">
        <v>0</v>
      </c>
      <c r="C21" s="125">
        <v>317463</v>
      </c>
      <c r="D21" s="125">
        <v>88558</v>
      </c>
      <c r="E21" s="121">
        <v>19239</v>
      </c>
      <c r="F21" s="121">
        <v>8488</v>
      </c>
      <c r="G21" s="121">
        <f>+'[3]Loss Expenses QTR'!$F$21</f>
        <v>15667.324752000002</v>
      </c>
      <c r="H21" s="121">
        <f>SUM(B21:F21)</f>
        <v>433748</v>
      </c>
      <c r="I21" s="110"/>
      <c r="J21" s="110"/>
      <c r="K21" s="110"/>
      <c r="L21" s="110"/>
      <c r="M21" s="110"/>
      <c r="N21" s="110"/>
      <c r="O21" s="110"/>
      <c r="P21" s="110"/>
      <c r="Q21" s="110"/>
      <c r="R21" s="110"/>
      <c r="S21" s="110"/>
      <c r="T21" s="110"/>
      <c r="U21" s="110"/>
      <c r="V21" s="110"/>
      <c r="W21" s="110"/>
      <c r="X21" s="110"/>
      <c r="Y21" s="110"/>
      <c r="Z21" s="110"/>
      <c r="AA21" s="110"/>
      <c r="AB21" s="110"/>
      <c r="AC21" s="110"/>
      <c r="AD21" s="110"/>
      <c r="AE21" s="110"/>
      <c r="AF21" s="110"/>
      <c r="AG21" s="110"/>
      <c r="AH21" s="110"/>
      <c r="AI21" s="110"/>
      <c r="AJ21" s="110"/>
      <c r="AK21" s="110"/>
      <c r="AL21" s="110"/>
      <c r="AM21" s="110"/>
    </row>
    <row r="22" spans="1:39" s="22" customFormat="1" ht="15">
      <c r="A22" s="365" t="s">
        <v>225</v>
      </c>
      <c r="B22" s="125">
        <v>0</v>
      </c>
      <c r="C22" s="125">
        <v>25508</v>
      </c>
      <c r="D22" s="125">
        <v>15154</v>
      </c>
      <c r="E22" s="121">
        <v>-109</v>
      </c>
      <c r="F22" s="121">
        <f>41+219</f>
        <v>260</v>
      </c>
      <c r="G22" s="121">
        <f>+'[3]Loss Expenses QTR'!$F$22</f>
        <v>6351.855840000001</v>
      </c>
      <c r="H22" s="121">
        <f>SUM(B22:F22)-2</f>
        <v>40811</v>
      </c>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row>
    <row r="23" spans="1:39" s="22" customFormat="1" ht="15">
      <c r="A23" s="365" t="s">
        <v>204</v>
      </c>
      <c r="B23" s="125">
        <v>0</v>
      </c>
      <c r="C23" s="125">
        <v>278</v>
      </c>
      <c r="D23" s="125">
        <v>0</v>
      </c>
      <c r="E23" s="121">
        <v>0</v>
      </c>
      <c r="F23" s="121">
        <f>+'[4]Loss Expenses YTD (pg 12)'!$C$17</f>
        <v>0</v>
      </c>
      <c r="G23" s="121">
        <f>+'[3]Loss Expenses QTR'!$F$23</f>
        <v>-917.5908000000001</v>
      </c>
      <c r="H23" s="121">
        <f>SUM(B23:F23)</f>
        <v>278</v>
      </c>
      <c r="I23" s="110"/>
      <c r="J23" s="110"/>
      <c r="K23" s="110"/>
      <c r="L23" s="110"/>
      <c r="M23" s="110"/>
      <c r="N23" s="110"/>
      <c r="O23" s="110"/>
      <c r="P23" s="110"/>
      <c r="Q23" s="110"/>
      <c r="R23" s="110"/>
      <c r="S23" s="110"/>
      <c r="T23" s="110"/>
      <c r="U23" s="110"/>
      <c r="V23" s="110"/>
      <c r="W23" s="110"/>
      <c r="X23" s="110"/>
      <c r="Y23" s="110"/>
      <c r="Z23" s="110"/>
      <c r="AA23" s="110"/>
      <c r="AB23" s="110"/>
      <c r="AC23" s="110"/>
      <c r="AD23" s="110"/>
      <c r="AE23" s="110"/>
      <c r="AF23" s="110"/>
      <c r="AG23" s="110"/>
      <c r="AH23" s="110"/>
      <c r="AI23" s="110"/>
      <c r="AJ23" s="110"/>
      <c r="AK23" s="110"/>
      <c r="AL23" s="110"/>
      <c r="AM23" s="110"/>
    </row>
    <row r="24" spans="1:39" s="22" customFormat="1" ht="15.75" thickBot="1">
      <c r="A24" s="452" t="s">
        <v>205</v>
      </c>
      <c r="B24" s="137">
        <f aca="true" t="shared" si="1" ref="B24:G24">SUM(B21:B23)</f>
        <v>0</v>
      </c>
      <c r="C24" s="137">
        <f t="shared" si="1"/>
        <v>343249</v>
      </c>
      <c r="D24" s="137">
        <f t="shared" si="1"/>
        <v>103712</v>
      </c>
      <c r="E24" s="329">
        <f t="shared" si="1"/>
        <v>19130</v>
      </c>
      <c r="F24" s="329">
        <f t="shared" si="1"/>
        <v>8748</v>
      </c>
      <c r="G24" s="329">
        <f t="shared" si="1"/>
        <v>21101.589792000002</v>
      </c>
      <c r="H24" s="128">
        <f>SUM(B24:F24)-2</f>
        <v>474837</v>
      </c>
      <c r="I24" s="110">
        <f>SUM(H21:H23)</f>
        <v>474837</v>
      </c>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row>
    <row r="25" spans="1:39" s="22" customFormat="1" ht="15.75" thickTop="1">
      <c r="A25" s="361"/>
      <c r="B25" s="125"/>
      <c r="C25" s="125"/>
      <c r="D25" s="121"/>
      <c r="E25" s="121"/>
      <c r="F25" s="121"/>
      <c r="G25" s="121"/>
      <c r="H25" s="121"/>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row>
    <row r="26" spans="1:39" s="22" customFormat="1" ht="29.25">
      <c r="A26" s="453" t="s">
        <v>226</v>
      </c>
      <c r="B26" s="125"/>
      <c r="C26" s="125"/>
      <c r="D26" s="538"/>
      <c r="E26" s="538"/>
      <c r="F26" s="538"/>
      <c r="G26" s="121"/>
      <c r="H26" s="121"/>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row>
    <row r="27" spans="1:39" s="22" customFormat="1" ht="15">
      <c r="A27" s="361" t="s">
        <v>202</v>
      </c>
      <c r="B27" s="121">
        <f aca="true" t="shared" si="2" ref="B27:C29">B9+B15-B21</f>
        <v>748872.979405</v>
      </c>
      <c r="C27" s="121">
        <f t="shared" si="2"/>
        <v>-176324.411712</v>
      </c>
      <c r="D27" s="121">
        <f aca="true" t="shared" si="3" ref="D27:E29">D9+D15-D21</f>
        <v>-76875.8995</v>
      </c>
      <c r="E27" s="121">
        <f t="shared" si="3"/>
        <v>-4176.008899999999</v>
      </c>
      <c r="F27" s="121" t="e">
        <f aca="true" t="shared" si="4" ref="F27:G29">F9+F15-F21</f>
        <v>#REF!</v>
      </c>
      <c r="G27" s="121" t="e">
        <f>G9+G15-G21+1</f>
        <v>#REF!</v>
      </c>
      <c r="H27" s="121" t="e">
        <f>SUM(B27:F27)+1</f>
        <v>#REF!</v>
      </c>
      <c r="I27" s="110"/>
      <c r="J27" s="110"/>
      <c r="K27" s="110"/>
      <c r="L27" s="110"/>
      <c r="M27" s="110"/>
      <c r="N27" s="110"/>
      <c r="O27" s="110"/>
      <c r="P27" s="110"/>
      <c r="Q27" s="110"/>
      <c r="R27" s="110"/>
      <c r="S27" s="110"/>
      <c r="T27" s="110"/>
      <c r="U27" s="110"/>
      <c r="V27" s="110"/>
      <c r="W27" s="110"/>
      <c r="X27" s="110"/>
      <c r="Y27" s="110"/>
      <c r="Z27" s="110"/>
      <c r="AA27" s="110"/>
      <c r="AB27" s="110"/>
      <c r="AC27" s="110"/>
      <c r="AD27" s="110"/>
      <c r="AE27" s="110"/>
      <c r="AF27" s="110"/>
      <c r="AG27" s="110"/>
      <c r="AH27" s="110"/>
      <c r="AI27" s="110"/>
      <c r="AJ27" s="110"/>
      <c r="AK27" s="110"/>
      <c r="AL27" s="110"/>
      <c r="AM27" s="110"/>
    </row>
    <row r="28" spans="1:39" s="22" customFormat="1" ht="15">
      <c r="A28" s="365" t="s">
        <v>203</v>
      </c>
      <c r="B28" s="121">
        <f t="shared" si="2"/>
        <v>214820.749489</v>
      </c>
      <c r="C28" s="121">
        <f t="shared" si="2"/>
        <v>31179.864668999995</v>
      </c>
      <c r="D28" s="121">
        <f t="shared" si="3"/>
        <v>-14137.4063</v>
      </c>
      <c r="E28" s="121">
        <f t="shared" si="3"/>
        <v>109</v>
      </c>
      <c r="F28" s="121" t="e">
        <f t="shared" si="4"/>
        <v>#REF!</v>
      </c>
      <c r="G28" s="121" t="e">
        <f t="shared" si="4"/>
        <v>#REF!</v>
      </c>
      <c r="H28" s="121" t="e">
        <f>SUM(B28:F28)+1</f>
        <v>#REF!</v>
      </c>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row>
    <row r="29" spans="1:39" s="22" customFormat="1" ht="15">
      <c r="A29" s="365" t="s">
        <v>204</v>
      </c>
      <c r="B29" s="121">
        <f t="shared" si="2"/>
        <v>1186.07</v>
      </c>
      <c r="C29" s="121">
        <f t="shared" si="2"/>
        <v>-278</v>
      </c>
      <c r="D29" s="121">
        <f t="shared" si="3"/>
        <v>0</v>
      </c>
      <c r="E29" s="121">
        <f t="shared" si="3"/>
        <v>1047.62</v>
      </c>
      <c r="F29" s="121" t="e">
        <f t="shared" si="4"/>
        <v>#REF!</v>
      </c>
      <c r="G29" s="121" t="e">
        <f>G11+G17-G23+1</f>
        <v>#REF!</v>
      </c>
      <c r="H29" s="121" t="e">
        <f>SUM(B29:F29)</f>
        <v>#REF!</v>
      </c>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0"/>
      <c r="AG29" s="110"/>
      <c r="AH29" s="110"/>
      <c r="AI29" s="110"/>
      <c r="AJ29" s="110"/>
      <c r="AK29" s="110"/>
      <c r="AL29" s="110"/>
      <c r="AM29" s="110"/>
    </row>
    <row r="30" spans="1:39" ht="15.75" thickBot="1">
      <c r="A30" s="452" t="s">
        <v>205</v>
      </c>
      <c r="B30" s="337">
        <f aca="true" t="shared" si="5" ref="B30:G30">SUM(B27:B29)</f>
        <v>964879.7988939999</v>
      </c>
      <c r="C30" s="337">
        <f t="shared" si="5"/>
        <v>-145422.547043</v>
      </c>
      <c r="D30" s="337">
        <f t="shared" si="5"/>
        <v>-91013.3058</v>
      </c>
      <c r="E30" s="337">
        <f t="shared" si="5"/>
        <v>-3019.388899999999</v>
      </c>
      <c r="F30" s="337" t="e">
        <f t="shared" si="5"/>
        <v>#REF!</v>
      </c>
      <c r="G30" s="337" t="e">
        <f t="shared" si="5"/>
        <v>#REF!</v>
      </c>
      <c r="H30" s="337" t="e">
        <f>SUM(B30:F30)+2</f>
        <v>#REF!</v>
      </c>
      <c r="I30" s="249">
        <f>+'[1]TB03-31-04(Final)'!G578</f>
        <v>474152.5300000001</v>
      </c>
      <c r="J30" s="248"/>
      <c r="K30" s="45"/>
      <c r="L30" s="45"/>
      <c r="M30" s="45"/>
      <c r="N30" s="45"/>
      <c r="O30" s="45"/>
      <c r="P30" s="45"/>
      <c r="Q30" s="45"/>
      <c r="R30" s="45"/>
      <c r="S30" s="45"/>
      <c r="T30" s="45"/>
      <c r="U30" s="45"/>
      <c r="V30" s="45"/>
      <c r="W30" s="45"/>
      <c r="X30" s="45"/>
      <c r="Y30" s="45"/>
      <c r="Z30" s="45"/>
      <c r="AA30" s="45"/>
      <c r="AB30" s="45"/>
      <c r="AC30" s="45"/>
      <c r="AD30" s="45"/>
      <c r="AE30" s="45"/>
      <c r="AF30" s="45"/>
      <c r="AG30" s="45"/>
      <c r="AH30" s="45"/>
      <c r="AI30" s="45"/>
      <c r="AJ30" s="45"/>
      <c r="AK30" s="45"/>
      <c r="AL30" s="45"/>
      <c r="AM30" s="45"/>
    </row>
    <row r="31" spans="2:40" ht="16.5" thickTop="1">
      <c r="B31" s="171"/>
      <c r="F31" s="121"/>
      <c r="G31" s="146"/>
      <c r="H31" s="121"/>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row>
    <row r="32" spans="6:40" ht="15.75">
      <c r="F32" s="121"/>
      <c r="G32" s="146"/>
      <c r="H32" s="121"/>
      <c r="I32" s="112"/>
      <c r="J32" s="45"/>
      <c r="K32" s="45"/>
      <c r="L32" s="45"/>
      <c r="M32" s="45"/>
      <c r="N32" s="45"/>
      <c r="O32" s="45"/>
      <c r="P32" s="45"/>
      <c r="Q32" s="45"/>
      <c r="R32" s="45"/>
      <c r="S32" s="45"/>
      <c r="T32" s="45"/>
      <c r="U32" s="45"/>
      <c r="V32" s="45"/>
      <c r="W32" s="45"/>
      <c r="X32" s="45"/>
      <c r="Y32" s="45"/>
      <c r="Z32" s="45"/>
      <c r="AA32" s="45"/>
      <c r="AB32" s="45"/>
      <c r="AC32" s="45"/>
      <c r="AD32" s="45"/>
      <c r="AE32" s="45"/>
      <c r="AF32" s="45"/>
      <c r="AG32" s="45"/>
      <c r="AH32" s="45"/>
      <c r="AI32" s="45"/>
      <c r="AJ32" s="45"/>
      <c r="AK32" s="45"/>
      <c r="AL32" s="45"/>
      <c r="AM32" s="45"/>
      <c r="AN32" s="45"/>
    </row>
    <row r="33" spans="6:40" ht="15.75">
      <c r="F33" s="121"/>
      <c r="G33" s="146"/>
      <c r="H33" s="121"/>
      <c r="I33" s="112"/>
      <c r="J33" s="45"/>
      <c r="K33" s="45"/>
      <c r="L33" s="45"/>
      <c r="M33" s="45"/>
      <c r="N33" s="45"/>
      <c r="O33" s="45"/>
      <c r="P33" s="45"/>
      <c r="Q33" s="45"/>
      <c r="R33" s="45"/>
      <c r="S33" s="45"/>
      <c r="T33" s="45"/>
      <c r="U33" s="45"/>
      <c r="V33" s="45"/>
      <c r="W33" s="45"/>
      <c r="X33" s="45"/>
      <c r="Y33" s="45"/>
      <c r="Z33" s="45"/>
      <c r="AA33" s="45"/>
      <c r="AB33" s="45"/>
      <c r="AC33" s="45"/>
      <c r="AD33" s="45"/>
      <c r="AE33" s="45"/>
      <c r="AF33" s="45"/>
      <c r="AG33" s="45"/>
      <c r="AH33" s="45"/>
      <c r="AI33" s="45"/>
      <c r="AJ33" s="45"/>
      <c r="AK33" s="45"/>
      <c r="AL33" s="45"/>
      <c r="AM33" s="45"/>
      <c r="AN33" s="45"/>
    </row>
    <row r="34" spans="6:40" ht="15.75">
      <c r="F34" s="121"/>
      <c r="G34" s="146"/>
      <c r="H34" s="121"/>
      <c r="I34" s="112"/>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row>
    <row r="35" spans="6:40" ht="15.75">
      <c r="F35" s="121"/>
      <c r="G35" s="146"/>
      <c r="H35" s="121"/>
      <c r="I35" s="112"/>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row>
    <row r="36" spans="6:40" ht="15.75">
      <c r="F36" s="121"/>
      <c r="G36" s="146"/>
      <c r="H36" s="121"/>
      <c r="I36" s="112"/>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row>
    <row r="37" spans="6:40" ht="15.75">
      <c r="F37" s="121"/>
      <c r="G37" s="146"/>
      <c r="H37" s="121"/>
      <c r="I37" s="112"/>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row>
    <row r="38" spans="6:40" ht="15.75">
      <c r="F38" s="121"/>
      <c r="G38" s="146"/>
      <c r="H38" s="121"/>
      <c r="I38" s="112"/>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row>
    <row r="39" spans="6:40" ht="15.75">
      <c r="F39" s="121"/>
      <c r="G39" s="146"/>
      <c r="H39" s="121"/>
      <c r="I39" s="112"/>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row>
    <row r="40" spans="6:40" ht="15.75">
      <c r="F40" s="121"/>
      <c r="G40" s="146"/>
      <c r="H40" s="121"/>
      <c r="I40" s="112"/>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row>
    <row r="41" spans="6:40" ht="15.75">
      <c r="F41" s="121"/>
      <c r="G41" s="146"/>
      <c r="H41" s="121"/>
      <c r="I41" s="112"/>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row>
    <row r="42" spans="6:40" ht="15.75">
      <c r="F42" s="121"/>
      <c r="G42" s="146"/>
      <c r="H42" s="121"/>
      <c r="I42" s="112"/>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row>
    <row r="43" spans="6:40" ht="15.75">
      <c r="F43" s="121"/>
      <c r="G43" s="146"/>
      <c r="H43" s="121"/>
      <c r="I43" s="112"/>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row>
    <row r="44" spans="6:40" ht="15.75">
      <c r="F44" s="121"/>
      <c r="G44" s="146"/>
      <c r="H44" s="121"/>
      <c r="I44" s="112"/>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row>
    <row r="45" spans="6:40" ht="15.75">
      <c r="F45" s="121"/>
      <c r="G45" s="146"/>
      <c r="H45" s="121"/>
      <c r="I45" s="112"/>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row>
    <row r="46" spans="6:40" ht="15.75">
      <c r="F46" s="121"/>
      <c r="G46" s="146"/>
      <c r="H46" s="121"/>
      <c r="I46" s="112"/>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row>
    <row r="47" spans="6:40" ht="15.75">
      <c r="F47" s="121"/>
      <c r="G47" s="146"/>
      <c r="H47" s="121"/>
      <c r="I47" s="112"/>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row>
    <row r="48" spans="6:40" ht="15.75">
      <c r="F48" s="121"/>
      <c r="G48" s="146"/>
      <c r="H48" s="121"/>
      <c r="I48" s="112"/>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row>
    <row r="49" spans="6:40" ht="15.75">
      <c r="F49" s="121"/>
      <c r="G49" s="146"/>
      <c r="H49" s="121"/>
      <c r="I49" s="112"/>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row>
    <row r="50" spans="6:40" ht="15.75">
      <c r="F50" s="121"/>
      <c r="G50" s="146"/>
      <c r="H50" s="121"/>
      <c r="I50" s="112"/>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row>
    <row r="51" spans="6:40" ht="15.75">
      <c r="F51" s="121"/>
      <c r="G51" s="146"/>
      <c r="H51" s="121"/>
      <c r="I51" s="112"/>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row>
    <row r="52" spans="6:40" ht="15.75">
      <c r="F52" s="121"/>
      <c r="G52" s="146"/>
      <c r="H52" s="121"/>
      <c r="I52" s="112"/>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row>
    <row r="53" spans="6:40" ht="15.75">
      <c r="F53" s="121"/>
      <c r="G53" s="146"/>
      <c r="H53" s="121"/>
      <c r="I53" s="112"/>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row>
    <row r="54" spans="6:40" ht="15.75">
      <c r="F54" s="121"/>
      <c r="G54" s="146"/>
      <c r="H54" s="121"/>
      <c r="I54" s="112"/>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row>
    <row r="55" spans="6:40" ht="15.75">
      <c r="F55" s="121"/>
      <c r="G55" s="146"/>
      <c r="H55" s="121"/>
      <c r="I55" s="112"/>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row>
    <row r="56" spans="6:40" ht="15.75">
      <c r="F56" s="121"/>
      <c r="G56" s="146"/>
      <c r="H56" s="121"/>
      <c r="I56" s="112"/>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row>
    <row r="57" spans="6:40" ht="15.75">
      <c r="F57" s="121"/>
      <c r="G57" s="146"/>
      <c r="H57" s="121"/>
      <c r="I57" s="112"/>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row>
    <row r="58" spans="6:40" ht="15.75">
      <c r="F58" s="121"/>
      <c r="G58" s="146"/>
      <c r="H58" s="121"/>
      <c r="I58" s="112"/>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row>
    <row r="59" spans="6:40" ht="15.75">
      <c r="F59" s="121"/>
      <c r="G59" s="146"/>
      <c r="H59" s="121"/>
      <c r="I59" s="112"/>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row>
    <row r="60" spans="6:40" ht="15.75">
      <c r="F60" s="121"/>
      <c r="G60" s="146"/>
      <c r="H60" s="121"/>
      <c r="I60" s="112"/>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row>
    <row r="61" spans="6:40" ht="15.75">
      <c r="F61" s="121"/>
      <c r="G61" s="146"/>
      <c r="H61" s="121"/>
      <c r="I61" s="112"/>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row>
    <row r="62" spans="6:40" ht="15.75">
      <c r="F62" s="121"/>
      <c r="G62" s="146"/>
      <c r="H62" s="121"/>
      <c r="I62" s="112"/>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row>
    <row r="63" spans="6:40" ht="15.75">
      <c r="F63" s="121"/>
      <c r="G63" s="146"/>
      <c r="H63" s="121"/>
      <c r="I63" s="112"/>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row>
    <row r="64" spans="6:40" ht="15.75">
      <c r="F64" s="121"/>
      <c r="G64" s="146"/>
      <c r="H64" s="121"/>
      <c r="I64" s="112"/>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row>
    <row r="65" spans="6:40" ht="15.75">
      <c r="F65" s="121"/>
      <c r="G65" s="146"/>
      <c r="H65" s="121"/>
      <c r="I65" s="112"/>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row>
    <row r="66" spans="6:40" ht="15.75">
      <c r="F66" s="121"/>
      <c r="G66" s="146"/>
      <c r="H66" s="121"/>
      <c r="I66" s="112"/>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row>
    <row r="67" spans="6:40" ht="15.75">
      <c r="F67" s="121"/>
      <c r="G67" s="146"/>
      <c r="H67" s="121"/>
      <c r="I67" s="112"/>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row>
    <row r="68" spans="6:40" ht="15.75">
      <c r="F68" s="121"/>
      <c r="G68" s="146"/>
      <c r="H68" s="121"/>
      <c r="I68" s="112"/>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row>
    <row r="69" spans="6:40" ht="15.75">
      <c r="F69" s="121"/>
      <c r="G69" s="146"/>
      <c r="H69" s="121"/>
      <c r="I69" s="112"/>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row>
    <row r="70" spans="6:40" ht="15.75">
      <c r="F70" s="121"/>
      <c r="G70" s="146"/>
      <c r="H70" s="121"/>
      <c r="I70" s="112"/>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row>
    <row r="71" spans="6:40" ht="15.75">
      <c r="F71" s="121"/>
      <c r="G71" s="146"/>
      <c r="H71" s="121"/>
      <c r="I71" s="112"/>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row>
    <row r="72" spans="6:40" ht="15.75">
      <c r="F72" s="121"/>
      <c r="G72" s="146"/>
      <c r="H72" s="121"/>
      <c r="I72" s="112"/>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row>
    <row r="73" spans="6:40" ht="15.75">
      <c r="F73" s="121"/>
      <c r="G73" s="146"/>
      <c r="H73" s="121"/>
      <c r="I73" s="112"/>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row>
    <row r="74" spans="6:40" ht="15.75">
      <c r="F74" s="121"/>
      <c r="G74" s="146"/>
      <c r="H74" s="121"/>
      <c r="I74" s="112"/>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row>
    <row r="75" spans="6:40" ht="15.75">
      <c r="F75" s="121"/>
      <c r="G75" s="146"/>
      <c r="H75" s="121"/>
      <c r="I75" s="112"/>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row>
    <row r="76" spans="6:40" ht="15.75">
      <c r="F76" s="121"/>
      <c r="G76" s="146"/>
      <c r="H76" s="121"/>
      <c r="I76" s="112"/>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row>
    <row r="77" spans="6:40" ht="15.75">
      <c r="F77" s="121"/>
      <c r="G77" s="146"/>
      <c r="H77" s="121"/>
      <c r="I77" s="112"/>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row>
    <row r="78" spans="6:40" ht="15.75">
      <c r="F78" s="121"/>
      <c r="G78" s="146"/>
      <c r="H78" s="121"/>
      <c r="I78" s="112"/>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row>
    <row r="79" spans="6:40" ht="15.75">
      <c r="F79" s="121"/>
      <c r="G79" s="146"/>
      <c r="H79" s="121"/>
      <c r="I79" s="112"/>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17.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4" bestFit="1" customWidth="1"/>
    <col min="2" max="2" width="19.57421875" style="5" customWidth="1"/>
    <col min="3" max="3" width="19.421875" style="5" bestFit="1" customWidth="1"/>
    <col min="4" max="4" width="18.57421875" style="5" bestFit="1" customWidth="1"/>
    <col min="5" max="5" width="18.57421875" style="5" customWidth="1"/>
    <col min="6" max="6" width="13.421875" style="44" customWidth="1"/>
    <col min="7" max="7" width="20.57421875" style="44" customWidth="1"/>
    <col min="8" max="8" width="37.7109375" style="44" customWidth="1"/>
    <col min="9" max="9" width="16.57421875" style="75" customWidth="1"/>
    <col min="10" max="10" width="4.57421875" style="75" customWidth="1"/>
    <col min="11" max="11" width="16.57421875" style="75" customWidth="1"/>
    <col min="12" max="14" width="15.00390625" style="44" customWidth="1"/>
    <col min="15" max="16384" width="9.140625" style="44" customWidth="1"/>
  </cols>
  <sheetData>
    <row r="1" spans="1:14" ht="15.75">
      <c r="A1" s="1034" t="s">
        <v>77</v>
      </c>
      <c r="B1" s="1034"/>
      <c r="C1" s="1034"/>
      <c r="D1" s="1034"/>
      <c r="E1" s="1034"/>
      <c r="F1" s="333" t="s">
        <v>327</v>
      </c>
      <c r="G1" s="334" t="s">
        <v>16</v>
      </c>
      <c r="H1" s="148" t="s">
        <v>233</v>
      </c>
      <c r="I1" s="149" t="s">
        <v>327</v>
      </c>
      <c r="J1" s="149"/>
      <c r="K1" s="188" t="s">
        <v>72</v>
      </c>
      <c r="L1" s="230"/>
      <c r="M1" s="230"/>
      <c r="N1" s="230"/>
    </row>
    <row r="2" spans="1:11" ht="20.25">
      <c r="A2" s="1032" t="s">
        <v>74</v>
      </c>
      <c r="B2" s="1032"/>
      <c r="C2" s="1032"/>
      <c r="D2" s="1032"/>
      <c r="E2" s="1032"/>
      <c r="F2" s="150"/>
      <c r="G2" s="78"/>
      <c r="H2" s="74" t="s">
        <v>234</v>
      </c>
      <c r="I2" s="151"/>
      <c r="K2" s="189"/>
    </row>
    <row r="3" spans="1:11" ht="20.25">
      <c r="A3" s="1033">
        <v>37802</v>
      </c>
      <c r="B3" s="1033"/>
      <c r="C3" s="1033"/>
      <c r="D3" s="1033"/>
      <c r="E3" s="1033"/>
      <c r="F3" s="150"/>
      <c r="G3" s="152"/>
      <c r="H3" s="75"/>
      <c r="K3" s="189" t="s">
        <v>87</v>
      </c>
    </row>
    <row r="4" spans="1:11" ht="15.75">
      <c r="A4" s="2"/>
      <c r="B4" s="2" t="s">
        <v>13</v>
      </c>
      <c r="C4" s="2"/>
      <c r="D4" s="79"/>
      <c r="E4" s="79"/>
      <c r="F4" s="153" t="s">
        <v>235</v>
      </c>
      <c r="H4" s="75"/>
      <c r="K4" s="189"/>
    </row>
    <row r="5" spans="1:11" ht="15.75">
      <c r="A5" s="80"/>
      <c r="B5" s="81" t="s">
        <v>230</v>
      </c>
      <c r="C5" s="3" t="s">
        <v>231</v>
      </c>
      <c r="D5" s="82" t="s">
        <v>232</v>
      </c>
      <c r="E5" s="79"/>
      <c r="F5" s="154" t="s">
        <v>236</v>
      </c>
      <c r="G5" s="76" t="s">
        <v>237</v>
      </c>
      <c r="H5" s="74" t="s">
        <v>238</v>
      </c>
      <c r="I5" s="77" t="s">
        <v>239</v>
      </c>
      <c r="J5" s="74"/>
      <c r="K5" s="190" t="s">
        <v>240</v>
      </c>
    </row>
    <row r="6" spans="1:11" ht="15.75">
      <c r="A6" s="85"/>
      <c r="B6" s="79"/>
      <c r="C6" s="169"/>
      <c r="D6" s="79"/>
      <c r="E6" s="79"/>
      <c r="F6" s="155"/>
      <c r="G6" s="84"/>
      <c r="H6" s="83"/>
      <c r="I6" s="83"/>
      <c r="J6" s="83"/>
      <c r="K6" s="191"/>
    </row>
    <row r="7" spans="1:11" ht="15.75">
      <c r="A7" s="86"/>
      <c r="B7" s="79"/>
      <c r="C7" s="79"/>
      <c r="D7" s="79"/>
      <c r="E7" s="79"/>
      <c r="F7" s="155"/>
      <c r="G7" s="84"/>
      <c r="H7" s="83"/>
      <c r="I7" s="83"/>
      <c r="J7" s="83"/>
      <c r="K7" s="191"/>
    </row>
    <row r="8" spans="1:14" ht="15.75">
      <c r="A8" s="261">
        <v>2002</v>
      </c>
      <c r="B8" s="156"/>
      <c r="C8" s="156"/>
      <c r="D8" s="157"/>
      <c r="E8" s="157"/>
      <c r="F8" s="158">
        <v>37802</v>
      </c>
      <c r="G8" s="75" t="s">
        <v>340</v>
      </c>
      <c r="H8" s="75" t="s">
        <v>346</v>
      </c>
      <c r="I8" s="75">
        <f>D9</f>
        <v>737754.17</v>
      </c>
      <c r="J8" s="83"/>
      <c r="K8" s="189"/>
      <c r="L8" s="229"/>
      <c r="M8" s="229"/>
      <c r="N8" s="229"/>
    </row>
    <row r="9" spans="1:14" ht="15.75">
      <c r="A9" s="86" t="s">
        <v>202</v>
      </c>
      <c r="B9" s="198">
        <f>-'[1](1)IBNR Cal13'!C21</f>
        <v>0</v>
      </c>
      <c r="C9" s="198">
        <v>-737754.17</v>
      </c>
      <c r="D9" s="198">
        <f>B9-C9</f>
        <v>737754.17</v>
      </c>
      <c r="E9" s="159"/>
      <c r="F9" s="160"/>
      <c r="G9" s="75" t="s">
        <v>341</v>
      </c>
      <c r="H9" s="75" t="s">
        <v>347</v>
      </c>
      <c r="I9" s="75">
        <f>D10</f>
        <v>272517.95</v>
      </c>
      <c r="J9" s="83"/>
      <c r="K9" s="189"/>
      <c r="L9" s="229"/>
      <c r="M9" s="229"/>
      <c r="N9" s="229"/>
    </row>
    <row r="10" spans="1:14" ht="15.75">
      <c r="A10" s="86" t="s">
        <v>225</v>
      </c>
      <c r="B10" s="198">
        <f>-'[1](1)IBNR Cal13'!C22</f>
        <v>0</v>
      </c>
      <c r="C10" s="198">
        <v>-272517.95</v>
      </c>
      <c r="D10" s="198">
        <f>B10-C10</f>
        <v>272517.95</v>
      </c>
      <c r="E10" s="159"/>
      <c r="F10" s="160"/>
      <c r="G10" s="75" t="s">
        <v>342</v>
      </c>
      <c r="H10" s="75" t="s">
        <v>348</v>
      </c>
      <c r="I10" s="75">
        <f>D11</f>
        <v>4757.34</v>
      </c>
      <c r="J10" s="83"/>
      <c r="K10" s="189"/>
      <c r="L10" s="229"/>
      <c r="M10" s="229"/>
      <c r="N10" s="229"/>
    </row>
    <row r="11" spans="1:14" ht="15.75">
      <c r="A11" s="86" t="s">
        <v>204</v>
      </c>
      <c r="B11" s="290">
        <f>-'[1](1)IBNR Cal13'!C23</f>
        <v>0</v>
      </c>
      <c r="C11" s="198">
        <v>-4757.34</v>
      </c>
      <c r="D11" s="198">
        <f>B11-C11</f>
        <v>4757.34</v>
      </c>
      <c r="E11" s="159"/>
      <c r="F11" s="160"/>
      <c r="G11" s="75" t="s">
        <v>343</v>
      </c>
      <c r="H11" s="75" t="s">
        <v>349</v>
      </c>
      <c r="J11" s="83"/>
      <c r="K11" s="189">
        <f>I8</f>
        <v>737754.17</v>
      </c>
      <c r="L11" s="229"/>
      <c r="M11" s="229"/>
      <c r="N11" s="229"/>
    </row>
    <row r="12" spans="1:14" ht="15.75">
      <c r="A12" s="86"/>
      <c r="B12" s="198"/>
      <c r="C12" s="199"/>
      <c r="D12" s="198"/>
      <c r="E12" s="159"/>
      <c r="F12" s="160"/>
      <c r="G12" s="75" t="s">
        <v>344</v>
      </c>
      <c r="H12" s="75" t="s">
        <v>350</v>
      </c>
      <c r="J12" s="83"/>
      <c r="K12" s="189">
        <f>I9</f>
        <v>272517.95</v>
      </c>
      <c r="L12" s="229"/>
      <c r="M12" s="229"/>
      <c r="N12" s="229"/>
    </row>
    <row r="13" spans="1:14" ht="15.75">
      <c r="A13" s="86" t="s">
        <v>354</v>
      </c>
      <c r="B13" s="200">
        <f>SUM(B9:B12)</f>
        <v>0</v>
      </c>
      <c r="C13" s="200">
        <f>SUM(C9:C12)</f>
        <v>-1015029.4600000001</v>
      </c>
      <c r="D13" s="200">
        <f>SUM(D9:D12)</f>
        <v>1015029.4600000001</v>
      </c>
      <c r="E13" s="159"/>
      <c r="F13" s="160"/>
      <c r="G13" s="75" t="s">
        <v>345</v>
      </c>
      <c r="H13" s="75" t="s">
        <v>351</v>
      </c>
      <c r="J13" s="83"/>
      <c r="K13" s="189">
        <f>I10</f>
        <v>4757.34</v>
      </c>
      <c r="L13" s="229"/>
      <c r="M13" s="229"/>
      <c r="N13" s="229"/>
    </row>
    <row r="14" spans="1:14" ht="15.75">
      <c r="A14" s="282"/>
      <c r="B14" s="198"/>
      <c r="C14" s="199"/>
      <c r="D14" s="198"/>
      <c r="E14" s="162"/>
      <c r="F14" s="160"/>
      <c r="G14" s="75"/>
      <c r="H14" s="75"/>
      <c r="J14" s="83"/>
      <c r="K14" s="189"/>
      <c r="L14" s="229"/>
      <c r="M14" s="229"/>
      <c r="N14" s="229"/>
    </row>
    <row r="15" spans="1:14" ht="15.75">
      <c r="A15" s="261">
        <v>2003</v>
      </c>
      <c r="B15" s="201"/>
      <c r="C15" s="201"/>
      <c r="D15" s="202"/>
      <c r="E15" s="157"/>
      <c r="F15" s="160"/>
      <c r="G15" s="75" t="s">
        <v>329</v>
      </c>
      <c r="H15" s="75" t="s">
        <v>64</v>
      </c>
      <c r="J15" s="83"/>
      <c r="K15" s="189">
        <f>-D16</f>
        <v>664860.7953114785</v>
      </c>
      <c r="L15" s="229"/>
      <c r="M15" s="229"/>
      <c r="N15" s="229"/>
    </row>
    <row r="16" spans="1:14" ht="15.75">
      <c r="A16" s="86" t="s">
        <v>202</v>
      </c>
      <c r="B16" s="198">
        <f>-'[1](1)IBNR Cal13'!C27</f>
        <v>-929888.0153114785</v>
      </c>
      <c r="C16" s="198">
        <v>-265027.22</v>
      </c>
      <c r="D16" s="198">
        <f>B16-C16</f>
        <v>-664860.7953114785</v>
      </c>
      <c r="E16" s="159"/>
      <c r="F16" s="160"/>
      <c r="G16" s="75" t="s">
        <v>330</v>
      </c>
      <c r="H16" s="75" t="s">
        <v>65</v>
      </c>
      <c r="J16" s="83"/>
      <c r="K16" s="189">
        <f>-D17</f>
        <v>216633.17796003202</v>
      </c>
      <c r="L16" s="229"/>
      <c r="M16" s="229"/>
      <c r="N16" s="229"/>
    </row>
    <row r="17" spans="1:14" ht="15.75">
      <c r="A17" s="86" t="s">
        <v>225</v>
      </c>
      <c r="B17" s="198">
        <f>-'[1](1)IBNR Cal13'!C28</f>
        <v>-302248.25796003203</v>
      </c>
      <c r="C17" s="198">
        <v>-85615.08</v>
      </c>
      <c r="D17" s="198">
        <f>B17-C17</f>
        <v>-216633.17796003202</v>
      </c>
      <c r="E17" s="159"/>
      <c r="F17" s="160"/>
      <c r="G17" s="75" t="s">
        <v>331</v>
      </c>
      <c r="H17" s="75" t="s">
        <v>66</v>
      </c>
      <c r="J17" s="83"/>
      <c r="K17" s="189">
        <f>-D18</f>
        <v>2832.0896709593467</v>
      </c>
      <c r="L17" s="229"/>
      <c r="M17" s="229"/>
      <c r="N17" s="229"/>
    </row>
    <row r="18" spans="1:14" ht="15.75">
      <c r="A18" s="86" t="s">
        <v>204</v>
      </c>
      <c r="B18" s="198">
        <f>-'[1](1)IBNR Cal13'!C29</f>
        <v>-4148.069670959347</v>
      </c>
      <c r="C18" s="198">
        <v>-1315.98</v>
      </c>
      <c r="D18" s="198">
        <f>B18-C18</f>
        <v>-2832.0896709593467</v>
      </c>
      <c r="E18" s="159"/>
      <c r="F18" s="160"/>
      <c r="G18" s="75" t="s">
        <v>332</v>
      </c>
      <c r="H18" s="75" t="s">
        <v>67</v>
      </c>
      <c r="I18" s="75">
        <f>K15</f>
        <v>664860.7953114785</v>
      </c>
      <c r="J18" s="83"/>
      <c r="K18" s="189"/>
      <c r="L18" s="229"/>
      <c r="M18" s="229"/>
      <c r="N18" s="229"/>
    </row>
    <row r="19" spans="1:14" ht="15.75">
      <c r="A19" s="88"/>
      <c r="B19" s="198"/>
      <c r="C19" s="199"/>
      <c r="D19" s="198"/>
      <c r="E19" s="159"/>
      <c r="F19" s="160"/>
      <c r="G19" s="75" t="s">
        <v>333</v>
      </c>
      <c r="H19" s="75" t="s">
        <v>68</v>
      </c>
      <c r="I19" s="75">
        <f>K16</f>
        <v>216633.17796003202</v>
      </c>
      <c r="J19" s="83"/>
      <c r="K19" s="189"/>
      <c r="L19" s="229"/>
      <c r="M19" s="229"/>
      <c r="N19" s="229"/>
    </row>
    <row r="20" spans="1:14" ht="15.75">
      <c r="A20" s="86" t="s">
        <v>354</v>
      </c>
      <c r="B20" s="200">
        <f>SUM(B16:B19)</f>
        <v>-1236284.34294247</v>
      </c>
      <c r="C20" s="200">
        <f>SUM(C16:C19)</f>
        <v>-351958.27999999997</v>
      </c>
      <c r="D20" s="200">
        <f>SUM(D16:D19)</f>
        <v>-884326.06294247</v>
      </c>
      <c r="E20" s="159"/>
      <c r="F20" s="160"/>
      <c r="G20" s="75" t="s">
        <v>334</v>
      </c>
      <c r="H20" s="75" t="s">
        <v>69</v>
      </c>
      <c r="I20" s="358">
        <f>K17</f>
        <v>2832.0896709593467</v>
      </c>
      <c r="J20" s="83"/>
      <c r="K20" s="189"/>
      <c r="L20" s="79"/>
      <c r="M20" s="79"/>
      <c r="N20" s="79"/>
    </row>
    <row r="21" spans="1:11" ht="16.5" thickBot="1">
      <c r="A21" s="88"/>
      <c r="B21" s="159"/>
      <c r="C21" s="161"/>
      <c r="D21" s="159"/>
      <c r="E21" s="86"/>
      <c r="F21" s="65" t="s">
        <v>241</v>
      </c>
      <c r="G21" s="10"/>
      <c r="H21" s="10"/>
      <c r="I21" s="357">
        <f>SUM(I8:I20)+0.01</f>
        <v>1899355.53294247</v>
      </c>
      <c r="J21" s="192"/>
      <c r="K21" s="193">
        <f>SUM(K8:K20)+0.01</f>
        <v>1899355.53294247</v>
      </c>
    </row>
    <row r="22" spans="1:11" ht="16.5" thickTop="1">
      <c r="A22" s="88"/>
      <c r="B22" s="159"/>
      <c r="C22" s="161"/>
      <c r="D22" s="159"/>
      <c r="E22" s="89"/>
      <c r="F22" s="64"/>
      <c r="G22" s="10"/>
      <c r="H22" s="10"/>
      <c r="I22" s="168"/>
      <c r="J22" s="168"/>
      <c r="K22" s="194"/>
    </row>
    <row r="23" spans="1:11" ht="16.5" thickBot="1">
      <c r="A23" s="163" t="s">
        <v>75</v>
      </c>
      <c r="B23" s="267">
        <f>B13+B20</f>
        <v>-1236284.34294247</v>
      </c>
      <c r="C23" s="267">
        <f>C13+C20</f>
        <v>-1366987.74</v>
      </c>
      <c r="D23" s="267">
        <f>D13+D20</f>
        <v>130703.39705753012</v>
      </c>
      <c r="E23" s="164"/>
      <c r="F23" s="65" t="s">
        <v>242</v>
      </c>
      <c r="G23" s="66" t="s">
        <v>70</v>
      </c>
      <c r="H23" s="10"/>
      <c r="I23" s="168"/>
      <c r="J23" s="168"/>
      <c r="K23" s="194"/>
    </row>
    <row r="24" spans="1:11" ht="16.5" thickTop="1">
      <c r="A24" s="86"/>
      <c r="B24" s="86" t="s">
        <v>57</v>
      </c>
      <c r="C24" s="359" t="s">
        <v>396</v>
      </c>
      <c r="D24" s="86"/>
      <c r="E24" s="89"/>
      <c r="F24" s="65" t="s">
        <v>73</v>
      </c>
      <c r="G24" s="66" t="s">
        <v>71</v>
      </c>
      <c r="H24" s="66"/>
      <c r="I24" s="168"/>
      <c r="J24" s="168"/>
      <c r="K24" s="194" t="s">
        <v>87</v>
      </c>
    </row>
    <row r="25" spans="1:11" ht="15.75">
      <c r="A25" s="2"/>
      <c r="B25" s="360" t="s">
        <v>386</v>
      </c>
      <c r="C25" s="360" t="s">
        <v>387</v>
      </c>
      <c r="D25" s="165"/>
      <c r="E25" s="89"/>
      <c r="F25" s="64"/>
      <c r="H25" s="66"/>
      <c r="I25" s="168"/>
      <c r="J25" s="168"/>
      <c r="K25" s="194"/>
    </row>
    <row r="26" spans="2:11" ht="15.75">
      <c r="B26" s="166"/>
      <c r="C26" s="166"/>
      <c r="D26" s="166"/>
      <c r="E26" s="89"/>
      <c r="F26" s="64"/>
      <c r="G26" s="10"/>
      <c r="H26" s="10"/>
      <c r="I26" s="168"/>
      <c r="J26" s="168"/>
      <c r="K26" s="194"/>
    </row>
    <row r="27" spans="1:11" ht="15.75">
      <c r="A27" s="2"/>
      <c r="B27" s="165"/>
      <c r="C27" s="165"/>
      <c r="D27" s="165"/>
      <c r="E27" s="89"/>
      <c r="F27" s="64"/>
      <c r="G27" s="10"/>
      <c r="H27" s="10"/>
      <c r="I27" s="168"/>
      <c r="J27" s="168"/>
      <c r="K27" s="194"/>
    </row>
    <row r="28" spans="1:11" ht="15.75">
      <c r="A28" s="2"/>
      <c r="B28" s="89"/>
      <c r="C28" s="89"/>
      <c r="D28" s="89"/>
      <c r="E28" s="89"/>
      <c r="F28" s="160"/>
      <c r="G28" s="10"/>
      <c r="H28" s="10"/>
      <c r="I28" s="168"/>
      <c r="J28" s="168"/>
      <c r="K28" s="194"/>
    </row>
    <row r="29" spans="1:11" ht="27" thickBot="1">
      <c r="A29" s="2"/>
      <c r="B29" s="89"/>
      <c r="C29" s="89"/>
      <c r="D29" s="89"/>
      <c r="E29" s="89"/>
      <c r="F29" s="65"/>
      <c r="G29" s="167"/>
      <c r="H29" s="71"/>
      <c r="I29" s="195" t="s">
        <v>236</v>
      </c>
      <c r="J29" s="195"/>
      <c r="K29" s="194"/>
    </row>
    <row r="30" spans="1:11" ht="15.75">
      <c r="A30" s="2"/>
      <c r="B30" s="89"/>
      <c r="C30" s="89"/>
      <c r="D30" s="89"/>
      <c r="E30" s="89"/>
      <c r="F30" s="65" t="s">
        <v>243</v>
      </c>
      <c r="G30" s="66" t="s">
        <v>357</v>
      </c>
      <c r="H30" s="66"/>
      <c r="I30" s="266">
        <v>37825</v>
      </c>
      <c r="J30" s="195"/>
      <c r="K30" s="194"/>
    </row>
    <row r="31" spans="1:11" ht="15.75">
      <c r="A31" s="2"/>
      <c r="B31" s="89"/>
      <c r="C31" s="89"/>
      <c r="D31" s="89"/>
      <c r="E31" s="2"/>
      <c r="F31" s="160"/>
      <c r="G31" s="66"/>
      <c r="H31" s="66"/>
      <c r="I31" s="195"/>
      <c r="J31" s="195"/>
      <c r="K31" s="194"/>
    </row>
    <row r="32" spans="1:11" ht="16.5" thickBot="1">
      <c r="A32" s="2"/>
      <c r="B32" s="89"/>
      <c r="C32" s="89"/>
      <c r="D32" s="89"/>
      <c r="E32" s="2"/>
      <c r="F32" s="65"/>
      <c r="G32" s="71"/>
      <c r="H32" s="71"/>
      <c r="I32" s="195"/>
      <c r="J32" s="195"/>
      <c r="K32" s="194"/>
    </row>
    <row r="33" spans="1:11" ht="15.75">
      <c r="A33" s="2"/>
      <c r="B33" s="89"/>
      <c r="C33" s="89"/>
      <c r="D33" s="89"/>
      <c r="E33" s="2"/>
      <c r="F33" s="65" t="s">
        <v>355</v>
      </c>
      <c r="G33" s="66" t="s">
        <v>278</v>
      </c>
      <c r="H33" s="66"/>
      <c r="I33" s="195"/>
      <c r="J33" s="195"/>
      <c r="K33" s="194"/>
    </row>
    <row r="34" spans="1:11" ht="15.75">
      <c r="A34" s="2"/>
      <c r="B34" s="89"/>
      <c r="C34" s="89"/>
      <c r="D34" s="89"/>
      <c r="E34" s="2"/>
      <c r="F34" s="160"/>
      <c r="G34" s="66"/>
      <c r="H34" s="66"/>
      <c r="I34" s="195"/>
      <c r="J34" s="195"/>
      <c r="K34" s="194"/>
    </row>
    <row r="35" spans="1:11" ht="16.5" thickBot="1">
      <c r="A35" s="2"/>
      <c r="B35" s="89"/>
      <c r="C35" s="89"/>
      <c r="D35" s="89"/>
      <c r="E35" s="2"/>
      <c r="F35" s="160"/>
      <c r="G35" s="71"/>
      <c r="H35" s="71"/>
      <c r="I35" s="195"/>
      <c r="J35" s="195"/>
      <c r="K35" s="194"/>
    </row>
    <row r="36" spans="1:11" ht="15.75">
      <c r="A36" s="2"/>
      <c r="B36" s="89"/>
      <c r="C36" s="89"/>
      <c r="D36" s="89"/>
      <c r="E36" s="2"/>
      <c r="F36" s="65" t="s">
        <v>244</v>
      </c>
      <c r="G36" s="66" t="s">
        <v>356</v>
      </c>
      <c r="H36" s="66"/>
      <c r="I36" s="195"/>
      <c r="J36" s="195"/>
      <c r="K36" s="194"/>
    </row>
    <row r="37" spans="1:11" ht="15.75">
      <c r="A37" s="2"/>
      <c r="B37" s="2"/>
      <c r="C37" s="2"/>
      <c r="D37" s="2"/>
      <c r="E37" s="2"/>
      <c r="F37" s="160"/>
      <c r="H37" s="66"/>
      <c r="I37" s="195"/>
      <c r="J37" s="195" t="s">
        <v>247</v>
      </c>
      <c r="K37" s="347"/>
    </row>
    <row r="38" spans="1:11" ht="16.5" thickBot="1">
      <c r="A38" s="2"/>
      <c r="B38" s="2"/>
      <c r="C38" s="2"/>
      <c r="D38" s="2"/>
      <c r="E38" s="2"/>
      <c r="F38" s="72"/>
      <c r="G38" s="71"/>
      <c r="H38" s="71"/>
      <c r="I38" s="195"/>
      <c r="J38" s="195"/>
      <c r="K38" s="194"/>
    </row>
    <row r="39" spans="1:14" ht="16.5" thickBot="1">
      <c r="A39" s="2"/>
      <c r="B39" s="2"/>
      <c r="C39" s="2"/>
      <c r="D39" s="2"/>
      <c r="E39" s="2"/>
      <c r="F39" s="291" t="s">
        <v>246</v>
      </c>
      <c r="G39" s="71" t="s">
        <v>56</v>
      </c>
      <c r="H39" s="71"/>
      <c r="I39" s="196"/>
      <c r="J39" s="196"/>
      <c r="K39" s="197"/>
      <c r="L39" s="231"/>
      <c r="M39" s="231"/>
      <c r="N39" s="231"/>
    </row>
    <row r="40" spans="1:8" ht="15.75">
      <c r="A40" s="2"/>
      <c r="B40" s="2"/>
      <c r="C40" s="2"/>
      <c r="D40" s="2"/>
      <c r="E40" s="2"/>
      <c r="F40" s="2"/>
      <c r="G40" s="75"/>
      <c r="H40" s="75"/>
    </row>
    <row r="41" spans="1:6" ht="15.75">
      <c r="A41" s="2"/>
      <c r="B41" s="2"/>
      <c r="C41" s="2"/>
      <c r="D41" s="2"/>
      <c r="E41" s="2"/>
      <c r="F41" s="285"/>
    </row>
    <row r="42" spans="1:8" ht="15.75">
      <c r="A42" s="2"/>
      <c r="B42" s="2"/>
      <c r="C42" s="2"/>
      <c r="D42" s="2"/>
      <c r="E42" s="2"/>
      <c r="F42" s="285"/>
      <c r="G42" s="78"/>
      <c r="H42" s="74"/>
    </row>
    <row r="43" spans="1:9" ht="15.75">
      <c r="A43" s="2"/>
      <c r="B43" s="2"/>
      <c r="C43" s="2"/>
      <c r="D43" s="2"/>
      <c r="E43" s="2"/>
      <c r="F43" s="285"/>
      <c r="G43" s="78"/>
      <c r="H43" s="74"/>
      <c r="I43" s="151"/>
    </row>
    <row r="44" spans="1:9" ht="15.75">
      <c r="A44" s="2"/>
      <c r="B44" s="2"/>
      <c r="C44" s="2"/>
      <c r="D44" s="2"/>
      <c r="E44" s="2"/>
      <c r="F44" s="285"/>
      <c r="G44" s="152"/>
      <c r="H44" s="75"/>
      <c r="I44" s="201"/>
    </row>
    <row r="45" spans="1:8" ht="15.75">
      <c r="A45" s="2"/>
      <c r="B45" s="2"/>
      <c r="C45" s="2"/>
      <c r="D45" s="2"/>
      <c r="E45" s="2"/>
      <c r="F45" s="90"/>
      <c r="H45" s="75"/>
    </row>
    <row r="46" spans="1:11" ht="15.75">
      <c r="A46" s="2"/>
      <c r="B46" s="2"/>
      <c r="C46" s="2"/>
      <c r="D46" s="2"/>
      <c r="E46" s="2"/>
      <c r="F46" s="289"/>
      <c r="G46" s="289"/>
      <c r="H46" s="74"/>
      <c r="I46" s="74"/>
      <c r="J46" s="74"/>
      <c r="K46" s="74"/>
    </row>
    <row r="47" spans="1:11" ht="15.75">
      <c r="A47" s="2"/>
      <c r="B47" s="2"/>
      <c r="C47" s="2"/>
      <c r="D47" s="2"/>
      <c r="E47" s="2"/>
      <c r="F47" s="84"/>
      <c r="G47" s="84"/>
      <c r="H47" s="83"/>
      <c r="I47" s="83"/>
      <c r="J47" s="83"/>
      <c r="K47" s="83"/>
    </row>
    <row r="48" spans="1:11" ht="15.75">
      <c r="A48" s="2"/>
      <c r="B48" s="2"/>
      <c r="C48" s="2"/>
      <c r="D48" s="2"/>
      <c r="E48" s="2"/>
      <c r="F48" s="84"/>
      <c r="G48" s="84"/>
      <c r="H48" s="83"/>
      <c r="I48" s="83"/>
      <c r="J48" s="83"/>
      <c r="K48" s="83"/>
    </row>
    <row r="49" spans="1:10" ht="15.75">
      <c r="A49" s="2"/>
      <c r="B49" s="2"/>
      <c r="C49" s="2"/>
      <c r="D49" s="2"/>
      <c r="E49" s="2"/>
      <c r="F49" s="283"/>
      <c r="G49" s="75"/>
      <c r="H49" s="75"/>
      <c r="J49" s="83"/>
    </row>
    <row r="50" spans="1:10" ht="15.75">
      <c r="A50" s="2"/>
      <c r="B50" s="2"/>
      <c r="C50" s="2"/>
      <c r="D50" s="2"/>
      <c r="E50" s="2"/>
      <c r="G50" s="75"/>
      <c r="H50" s="75"/>
      <c r="J50" s="83"/>
    </row>
    <row r="51" spans="1:10" ht="15.75">
      <c r="A51" s="2"/>
      <c r="B51" s="2"/>
      <c r="C51" s="2"/>
      <c r="D51" s="2"/>
      <c r="E51" s="2"/>
      <c r="G51" s="75"/>
      <c r="H51" s="75"/>
      <c r="J51" s="83"/>
    </row>
    <row r="52" spans="1:10" ht="15.75">
      <c r="A52" s="2"/>
      <c r="B52" s="2"/>
      <c r="C52" s="2"/>
      <c r="D52" s="2"/>
      <c r="E52" s="2"/>
      <c r="G52" s="75"/>
      <c r="H52" s="75"/>
      <c r="J52" s="83"/>
    </row>
    <row r="53" spans="1:10" ht="15.75">
      <c r="A53" s="2"/>
      <c r="B53" s="2"/>
      <c r="C53" s="2"/>
      <c r="D53" s="2"/>
      <c r="E53" s="2"/>
      <c r="G53" s="75"/>
      <c r="H53" s="75"/>
      <c r="J53" s="83"/>
    </row>
    <row r="54" spans="1:10" ht="15.75">
      <c r="A54" s="2"/>
      <c r="B54" s="2"/>
      <c r="C54" s="2"/>
      <c r="D54" s="2"/>
      <c r="E54" s="2"/>
      <c r="G54" s="75"/>
      <c r="H54" s="75"/>
      <c r="J54" s="83"/>
    </row>
    <row r="55" spans="1:10" ht="15.75">
      <c r="A55" s="2"/>
      <c r="B55" s="2"/>
      <c r="C55" s="2"/>
      <c r="D55" s="2"/>
      <c r="E55" s="2"/>
      <c r="G55" s="75"/>
      <c r="H55" s="75"/>
      <c r="J55" s="83"/>
    </row>
    <row r="56" spans="1:10" ht="15.75">
      <c r="A56" s="2"/>
      <c r="B56" s="2"/>
      <c r="C56" s="2"/>
      <c r="D56" s="2"/>
      <c r="E56" s="2"/>
      <c r="G56" s="75"/>
      <c r="H56" s="75"/>
      <c r="J56" s="83"/>
    </row>
    <row r="57" spans="1:10" ht="15.75">
      <c r="A57" s="2"/>
      <c r="B57" s="2"/>
      <c r="C57" s="2"/>
      <c r="D57" s="2"/>
      <c r="E57" s="2"/>
      <c r="G57" s="75"/>
      <c r="H57" s="75"/>
      <c r="J57" s="83"/>
    </row>
    <row r="58" spans="1:10" ht="15.75">
      <c r="A58" s="2"/>
      <c r="B58" s="2"/>
      <c r="C58" s="2"/>
      <c r="D58" s="2"/>
      <c r="E58" s="2"/>
      <c r="G58" s="75"/>
      <c r="H58" s="75"/>
      <c r="J58" s="83"/>
    </row>
    <row r="59" spans="1:10" ht="15.75">
      <c r="A59" s="2"/>
      <c r="B59" s="2"/>
      <c r="C59" s="2"/>
      <c r="D59" s="2"/>
      <c r="E59" s="92"/>
      <c r="G59" s="75"/>
      <c r="H59" s="75"/>
      <c r="J59" s="83"/>
    </row>
    <row r="60" spans="1:10" ht="15.75">
      <c r="A60" s="2"/>
      <c r="B60" s="2"/>
      <c r="C60" s="2"/>
      <c r="D60" s="2"/>
      <c r="E60" s="92"/>
      <c r="G60" s="75"/>
      <c r="H60" s="75"/>
      <c r="J60" s="83"/>
    </row>
    <row r="61" spans="1:11" ht="15.75">
      <c r="A61" s="2"/>
      <c r="B61" s="2"/>
      <c r="C61" s="2"/>
      <c r="D61" s="2"/>
      <c r="E61" s="92"/>
      <c r="F61" s="66"/>
      <c r="G61" s="10"/>
      <c r="H61" s="10"/>
      <c r="I61" s="198"/>
      <c r="J61" s="198"/>
      <c r="K61" s="198"/>
    </row>
    <row r="62" spans="1:11" s="2" customFormat="1" ht="15.75">
      <c r="A62" s="91"/>
      <c r="B62" s="91"/>
      <c r="C62" s="92"/>
      <c r="D62" s="92"/>
      <c r="E62" s="92"/>
      <c r="F62" s="10"/>
      <c r="G62" s="10"/>
      <c r="H62" s="10"/>
      <c r="I62" s="168"/>
      <c r="J62" s="168"/>
      <c r="K62" s="168"/>
    </row>
    <row r="63" spans="1:11" s="2" customFormat="1" ht="15.75">
      <c r="A63" s="91"/>
      <c r="B63" s="91"/>
      <c r="C63" s="92"/>
      <c r="D63" s="92"/>
      <c r="E63" s="92"/>
      <c r="F63" s="10"/>
      <c r="G63" s="10"/>
      <c r="H63" s="10"/>
      <c r="I63" s="168"/>
      <c r="J63" s="168"/>
      <c r="K63" s="168"/>
    </row>
    <row r="64" spans="1:11" s="2" customFormat="1" ht="15.75">
      <c r="A64" s="91"/>
      <c r="B64" s="91"/>
      <c r="C64" s="92"/>
      <c r="D64" s="92"/>
      <c r="E64" s="92"/>
      <c r="F64" s="66"/>
      <c r="G64" s="66"/>
      <c r="H64" s="66"/>
      <c r="I64" s="168"/>
      <c r="J64" s="168"/>
      <c r="K64" s="168"/>
    </row>
    <row r="65" spans="1:11" s="2" customFormat="1" ht="15.75">
      <c r="A65" s="91"/>
      <c r="B65" s="91"/>
      <c r="C65" s="92"/>
      <c r="D65" s="92"/>
      <c r="E65" s="92"/>
      <c r="F65" s="66"/>
      <c r="G65" s="66"/>
      <c r="H65" s="66"/>
      <c r="I65" s="168"/>
      <c r="J65" s="168"/>
      <c r="K65" s="168"/>
    </row>
    <row r="66" spans="1:11" s="2" customFormat="1" ht="15.75">
      <c r="A66" s="91"/>
      <c r="B66" s="91"/>
      <c r="C66" s="92"/>
      <c r="D66" s="92"/>
      <c r="E66" s="92"/>
      <c r="F66" s="10"/>
      <c r="G66" s="10"/>
      <c r="H66" s="10"/>
      <c r="I66" s="168"/>
      <c r="J66" s="168"/>
      <c r="K66" s="168"/>
    </row>
    <row r="67" spans="1:11" ht="15.75">
      <c r="A67" s="91"/>
      <c r="B67" s="91"/>
      <c r="C67" s="92"/>
      <c r="D67" s="92"/>
      <c r="E67" s="92"/>
      <c r="F67" s="10"/>
      <c r="G67" s="10"/>
      <c r="H67" s="10"/>
      <c r="I67" s="168"/>
      <c r="J67" s="168"/>
      <c r="K67" s="168"/>
    </row>
    <row r="68" spans="1:11" ht="15.75">
      <c r="A68" s="91"/>
      <c r="B68" s="91"/>
      <c r="C68" s="92"/>
      <c r="D68" s="92"/>
      <c r="E68" s="92"/>
      <c r="F68" s="10"/>
      <c r="G68" s="10"/>
      <c r="H68" s="10"/>
      <c r="I68" s="168"/>
      <c r="J68" s="168"/>
      <c r="K68" s="168"/>
    </row>
    <row r="69" spans="1:11" ht="26.25">
      <c r="A69" s="91"/>
      <c r="B69" s="91"/>
      <c r="C69" s="92"/>
      <c r="D69" s="92"/>
      <c r="E69" s="92"/>
      <c r="F69" s="66"/>
      <c r="G69" s="292"/>
      <c r="H69" s="66"/>
      <c r="I69" s="283"/>
      <c r="J69" s="195"/>
      <c r="K69" s="168"/>
    </row>
    <row r="70" spans="1:11" ht="15.75">
      <c r="A70" s="91"/>
      <c r="B70" s="91"/>
      <c r="C70" s="92"/>
      <c r="D70" s="92"/>
      <c r="E70" s="92"/>
      <c r="F70" s="66"/>
      <c r="G70" s="66"/>
      <c r="H70" s="66"/>
      <c r="I70" s="195"/>
      <c r="J70" s="195"/>
      <c r="K70" s="168"/>
    </row>
    <row r="71" spans="1:11" ht="15.75">
      <c r="A71" s="91"/>
      <c r="B71" s="91"/>
      <c r="C71" s="92"/>
      <c r="D71" s="92"/>
      <c r="E71" s="92"/>
      <c r="F71" s="66"/>
      <c r="G71" s="66"/>
      <c r="H71" s="66"/>
      <c r="I71" s="195"/>
      <c r="J71" s="195"/>
      <c r="K71" s="168"/>
    </row>
    <row r="72" spans="1:11" ht="15.75">
      <c r="A72" s="91"/>
      <c r="B72" s="91"/>
      <c r="C72" s="92"/>
      <c r="D72" s="92"/>
      <c r="E72" s="92"/>
      <c r="F72" s="66"/>
      <c r="G72" s="66"/>
      <c r="H72" s="66"/>
      <c r="I72" s="195"/>
      <c r="J72" s="195"/>
      <c r="K72" s="168"/>
    </row>
    <row r="73" spans="1:11" ht="15.75">
      <c r="A73" s="91"/>
      <c r="B73" s="91"/>
      <c r="C73" s="92"/>
      <c r="D73" s="92"/>
      <c r="E73" s="92"/>
      <c r="F73" s="66"/>
      <c r="G73" s="66"/>
      <c r="H73" s="66"/>
      <c r="I73" s="195"/>
      <c r="J73" s="195"/>
      <c r="K73" s="168"/>
    </row>
    <row r="74" spans="1:11" ht="15.75">
      <c r="A74" s="91"/>
      <c r="B74" s="91"/>
      <c r="C74" s="92"/>
      <c r="D74" s="92"/>
      <c r="E74" s="92"/>
      <c r="F74" s="66"/>
      <c r="G74" s="66"/>
      <c r="H74" s="66"/>
      <c r="I74" s="195"/>
      <c r="J74" s="195"/>
      <c r="K74" s="168"/>
    </row>
    <row r="75" spans="1:11" ht="15.75">
      <c r="A75" s="91"/>
      <c r="B75" s="91"/>
      <c r="C75" s="92"/>
      <c r="D75" s="92"/>
      <c r="E75" s="92"/>
      <c r="F75" s="66"/>
      <c r="G75" s="66"/>
      <c r="H75" s="66"/>
      <c r="I75" s="195"/>
      <c r="J75" s="195"/>
      <c r="K75" s="168"/>
    </row>
    <row r="76" spans="1:11" ht="15.75">
      <c r="A76" s="91"/>
      <c r="B76" s="91"/>
      <c r="C76" s="92"/>
      <c r="D76" s="92"/>
      <c r="E76" s="92"/>
      <c r="F76" s="66"/>
      <c r="G76" s="66"/>
      <c r="H76" s="66"/>
      <c r="I76" s="195"/>
      <c r="J76" s="195"/>
      <c r="K76" s="168"/>
    </row>
    <row r="77" spans="1:11" ht="15.75">
      <c r="A77" s="91"/>
      <c r="B77" s="91"/>
      <c r="C77" s="92"/>
      <c r="D77" s="92"/>
      <c r="E77" s="92"/>
      <c r="F77" s="66"/>
      <c r="H77" s="66"/>
      <c r="I77" s="195"/>
      <c r="J77" s="195"/>
      <c r="K77" s="168"/>
    </row>
    <row r="78" spans="1:11" ht="15.75">
      <c r="A78" s="91"/>
      <c r="B78" s="91"/>
      <c r="C78" s="92"/>
      <c r="D78" s="92"/>
      <c r="E78" s="92"/>
      <c r="F78" s="66"/>
      <c r="G78" s="66"/>
      <c r="H78" s="66"/>
      <c r="I78" s="195"/>
      <c r="J78" s="195"/>
      <c r="K78" s="168"/>
    </row>
    <row r="79" spans="1:11" ht="15.75">
      <c r="A79" s="91"/>
      <c r="B79" s="91"/>
      <c r="C79" s="92"/>
      <c r="D79" s="92"/>
      <c r="E79" s="92"/>
      <c r="F79" s="66"/>
      <c r="G79" s="66"/>
      <c r="H79" s="66"/>
      <c r="I79" s="195"/>
      <c r="J79" s="195"/>
      <c r="K79" s="168"/>
    </row>
    <row r="80" spans="1:5" ht="15.75">
      <c r="A80" s="91"/>
      <c r="B80" s="91"/>
      <c r="C80" s="92"/>
      <c r="D80" s="92"/>
      <c r="E80" s="92"/>
    </row>
    <row r="81" spans="1:5" ht="15.75">
      <c r="A81" s="91"/>
      <c r="B81" s="91"/>
      <c r="C81" s="92"/>
      <c r="D81" s="92"/>
      <c r="E81" s="92"/>
    </row>
    <row r="82" spans="1:5" ht="15.75">
      <c r="A82" s="91"/>
      <c r="B82" s="91"/>
      <c r="C82" s="92"/>
      <c r="D82" s="92"/>
      <c r="E82" s="92"/>
    </row>
    <row r="83" spans="1:5" ht="15.75">
      <c r="A83" s="91"/>
      <c r="B83" s="91"/>
      <c r="C83" s="92"/>
      <c r="D83" s="92"/>
      <c r="E83" s="92"/>
    </row>
    <row r="84" spans="1:5" ht="15.75">
      <c r="A84" s="91"/>
      <c r="B84" s="91"/>
      <c r="C84" s="92"/>
      <c r="D84" s="92"/>
      <c r="E84" s="92"/>
    </row>
    <row r="85" spans="1:5" ht="15.75">
      <c r="A85" s="91"/>
      <c r="B85" s="91"/>
      <c r="C85" s="92"/>
      <c r="D85" s="92"/>
      <c r="E85" s="92"/>
    </row>
    <row r="86" spans="1:5" ht="15.75">
      <c r="A86" s="91"/>
      <c r="B86" s="91"/>
      <c r="C86" s="92"/>
      <c r="D86" s="92"/>
      <c r="E86" s="92"/>
    </row>
    <row r="87" spans="1:5" ht="15.75">
      <c r="A87" s="91"/>
      <c r="B87" s="91"/>
      <c r="C87" s="92"/>
      <c r="D87" s="92"/>
      <c r="E87" s="92"/>
    </row>
    <row r="88" spans="1:5" ht="15.75">
      <c r="A88" s="91"/>
      <c r="B88" s="91"/>
      <c r="C88" s="92"/>
      <c r="D88" s="92"/>
      <c r="E88" s="92"/>
    </row>
    <row r="89" spans="1:5" ht="15.75">
      <c r="A89" s="91"/>
      <c r="B89" s="91"/>
      <c r="C89" s="92"/>
      <c r="D89" s="92"/>
      <c r="E89" s="92"/>
    </row>
    <row r="90" spans="1:5" ht="15.75">
      <c r="A90" s="91"/>
      <c r="B90" s="91"/>
      <c r="C90" s="92"/>
      <c r="D90" s="92"/>
      <c r="E90" s="92"/>
    </row>
    <row r="91" spans="1:5" ht="15.75">
      <c r="A91" s="91"/>
      <c r="B91" s="91"/>
      <c r="C91" s="92"/>
      <c r="D91" s="92"/>
      <c r="E91" s="92"/>
    </row>
    <row r="92" spans="1:5" ht="15.75">
      <c r="A92" s="91"/>
      <c r="B92" s="91"/>
      <c r="C92" s="92"/>
      <c r="D92" s="92"/>
      <c r="E92" s="92"/>
    </row>
    <row r="93" spans="1:5" ht="15.75">
      <c r="A93" s="91"/>
      <c r="B93" s="91"/>
      <c r="C93" s="92"/>
      <c r="D93" s="92"/>
      <c r="E93" s="92"/>
    </row>
    <row r="94" spans="1:5" ht="15.75">
      <c r="A94" s="91"/>
      <c r="B94" s="91"/>
      <c r="C94" s="92"/>
      <c r="D94" s="92"/>
      <c r="E94" s="92"/>
    </row>
    <row r="95" spans="1:5" ht="15.75">
      <c r="A95" s="91"/>
      <c r="B95" s="91"/>
      <c r="C95" s="92"/>
      <c r="D95" s="92"/>
      <c r="E95" s="92"/>
    </row>
    <row r="96" spans="1:5" ht="15.75">
      <c r="A96" s="91"/>
      <c r="B96" s="91"/>
      <c r="C96" s="92"/>
      <c r="D96" s="92"/>
      <c r="E96" s="92"/>
    </row>
    <row r="97" spans="1:5" ht="15.75">
      <c r="A97" s="91"/>
      <c r="B97" s="91"/>
      <c r="C97" s="92"/>
      <c r="D97" s="92"/>
      <c r="E97" s="92"/>
    </row>
    <row r="98" spans="1:5" ht="15.75">
      <c r="A98" s="91"/>
      <c r="B98" s="91"/>
      <c r="C98" s="92"/>
      <c r="D98" s="92"/>
      <c r="E98" s="92"/>
    </row>
    <row r="99" spans="1:5" ht="15.75">
      <c r="A99" s="91"/>
      <c r="B99" s="91"/>
      <c r="C99" s="92"/>
      <c r="D99" s="92"/>
      <c r="E99" s="92"/>
    </row>
    <row r="100" spans="1:5" ht="15.75">
      <c r="A100" s="91"/>
      <c r="B100" s="91"/>
      <c r="C100" s="92"/>
      <c r="D100" s="92"/>
      <c r="E100" s="92"/>
    </row>
    <row r="101" spans="1:5" ht="15.75">
      <c r="A101" s="91"/>
      <c r="B101" s="91"/>
      <c r="C101" s="92"/>
      <c r="D101" s="92"/>
      <c r="E101" s="92"/>
    </row>
    <row r="102" spans="1:5" ht="15.75">
      <c r="A102" s="91"/>
      <c r="B102" s="91"/>
      <c r="C102" s="92"/>
      <c r="D102" s="92"/>
      <c r="E102" s="92"/>
    </row>
    <row r="103" spans="1:5" ht="15.75">
      <c r="A103" s="91"/>
      <c r="B103" s="91"/>
      <c r="C103" s="92"/>
      <c r="D103" s="92"/>
      <c r="E103" s="92"/>
    </row>
    <row r="104" spans="1:5" ht="15.75">
      <c r="A104" s="91"/>
      <c r="B104" s="91"/>
      <c r="C104" s="92"/>
      <c r="D104" s="92"/>
      <c r="E104" s="92"/>
    </row>
    <row r="105" spans="1:5" ht="15.75">
      <c r="A105" s="91"/>
      <c r="B105" s="91"/>
      <c r="C105" s="92"/>
      <c r="D105" s="92"/>
      <c r="E105" s="92"/>
    </row>
    <row r="106" spans="1:5" ht="15.75">
      <c r="A106" s="91"/>
      <c r="B106" s="91"/>
      <c r="C106" s="92"/>
      <c r="D106" s="92"/>
      <c r="E106" s="92"/>
    </row>
    <row r="107" spans="1:5" ht="15.75">
      <c r="A107" s="91"/>
      <c r="B107" s="91"/>
      <c r="C107" s="92"/>
      <c r="D107" s="92"/>
      <c r="E107" s="92"/>
    </row>
    <row r="108" spans="1:5" ht="15.75">
      <c r="A108" s="91"/>
      <c r="B108" s="91"/>
      <c r="C108" s="92"/>
      <c r="D108" s="92"/>
      <c r="E108" s="92"/>
    </row>
    <row r="109" spans="1:5" ht="15.75">
      <c r="A109" s="91"/>
      <c r="B109" s="91"/>
      <c r="C109" s="92"/>
      <c r="D109" s="92"/>
      <c r="E109" s="92"/>
    </row>
    <row r="110" spans="1:5" ht="15.75">
      <c r="A110" s="91"/>
      <c r="B110" s="91"/>
      <c r="C110" s="92"/>
      <c r="D110" s="92"/>
      <c r="E110" s="92"/>
    </row>
    <row r="111" spans="1:5" ht="15.75">
      <c r="A111" s="91"/>
      <c r="B111" s="91"/>
      <c r="C111" s="92"/>
      <c r="D111" s="92"/>
      <c r="E111" s="92"/>
    </row>
    <row r="112" spans="1:5" ht="15.75">
      <c r="A112" s="91"/>
      <c r="B112" s="91"/>
      <c r="C112" s="92"/>
      <c r="D112" s="92"/>
      <c r="E112" s="92"/>
    </row>
    <row r="113" spans="1:5" ht="15.75">
      <c r="A113" s="91"/>
      <c r="B113" s="91"/>
      <c r="C113" s="92"/>
      <c r="D113" s="92"/>
      <c r="E113" s="92"/>
    </row>
    <row r="114" spans="1:5" ht="15.75">
      <c r="A114" s="91"/>
      <c r="B114" s="91"/>
      <c r="C114" s="92"/>
      <c r="D114" s="92"/>
      <c r="E114" s="92"/>
    </row>
    <row r="115" spans="1:5" ht="15.75">
      <c r="A115" s="91"/>
      <c r="B115" s="91"/>
      <c r="C115" s="92"/>
      <c r="D115" s="92"/>
      <c r="E115" s="92"/>
    </row>
    <row r="116" spans="1:5" ht="15.75">
      <c r="A116" s="91"/>
      <c r="B116" s="91"/>
      <c r="C116" s="92"/>
      <c r="D116" s="92"/>
      <c r="E116" s="92"/>
    </row>
    <row r="117" spans="1:5" ht="15.75">
      <c r="A117" s="91"/>
      <c r="B117" s="91"/>
      <c r="C117" s="92"/>
      <c r="D117" s="92"/>
      <c r="E117" s="92"/>
    </row>
    <row r="118" spans="1:5" ht="15.75">
      <c r="A118" s="91"/>
      <c r="B118" s="91"/>
      <c r="C118" s="92"/>
      <c r="D118" s="92"/>
      <c r="E118" s="92"/>
    </row>
    <row r="119" spans="1:5" ht="15.75">
      <c r="A119" s="91"/>
      <c r="B119" s="91"/>
      <c r="C119" s="92"/>
      <c r="D119" s="92"/>
      <c r="E119" s="92"/>
    </row>
    <row r="120" spans="1:5" ht="15.75">
      <c r="A120" s="91"/>
      <c r="B120" s="91"/>
      <c r="C120" s="92"/>
      <c r="D120" s="92"/>
      <c r="E120" s="92"/>
    </row>
    <row r="121" spans="1:5" ht="15.75">
      <c r="A121" s="91"/>
      <c r="B121" s="91"/>
      <c r="C121" s="92"/>
      <c r="D121" s="92"/>
      <c r="E121" s="92"/>
    </row>
    <row r="122" spans="1:5" ht="15.75">
      <c r="A122" s="91"/>
      <c r="B122" s="91"/>
      <c r="C122" s="92"/>
      <c r="D122" s="92"/>
      <c r="E122" s="92"/>
    </row>
    <row r="123" spans="1:5" ht="15.75">
      <c r="A123" s="91"/>
      <c r="B123" s="91"/>
      <c r="C123" s="92"/>
      <c r="D123" s="92"/>
      <c r="E123" s="92"/>
    </row>
    <row r="124" spans="1:5" ht="15.75">
      <c r="A124" s="91"/>
      <c r="B124" s="91"/>
      <c r="C124" s="92"/>
      <c r="D124" s="92"/>
      <c r="E124" s="92"/>
    </row>
    <row r="125" spans="1:5" ht="15.75">
      <c r="A125" s="91"/>
      <c r="B125" s="91"/>
      <c r="C125" s="92"/>
      <c r="D125" s="92"/>
      <c r="E125" s="92"/>
    </row>
    <row r="126" spans="1:5" ht="15.75">
      <c r="A126" s="91"/>
      <c r="B126" s="91"/>
      <c r="C126" s="92"/>
      <c r="D126" s="92"/>
      <c r="E126" s="92"/>
    </row>
    <row r="127" spans="1:5" ht="15.75">
      <c r="A127" s="91"/>
      <c r="B127" s="91"/>
      <c r="C127" s="92"/>
      <c r="D127" s="92"/>
      <c r="E127" s="92"/>
    </row>
    <row r="128" spans="1:5" ht="15.75">
      <c r="A128" s="91"/>
      <c r="B128" s="91"/>
      <c r="C128" s="92"/>
      <c r="D128" s="92"/>
      <c r="E128" s="92"/>
    </row>
    <row r="129" spans="1:5" ht="15.75">
      <c r="A129" s="91"/>
      <c r="B129" s="91"/>
      <c r="C129" s="92"/>
      <c r="D129" s="92"/>
      <c r="E129" s="92"/>
    </row>
    <row r="130" spans="1:5" ht="15.75">
      <c r="A130" s="91"/>
      <c r="B130" s="91"/>
      <c r="C130" s="92"/>
      <c r="D130" s="92"/>
      <c r="E130" s="92"/>
    </row>
    <row r="131" spans="1:5" ht="15.75">
      <c r="A131" s="91"/>
      <c r="B131" s="91"/>
      <c r="C131" s="92"/>
      <c r="D131" s="92"/>
      <c r="E131" s="92"/>
    </row>
    <row r="132" spans="1:5" ht="15.75">
      <c r="A132" s="91"/>
      <c r="B132" s="91"/>
      <c r="C132" s="92"/>
      <c r="D132" s="92"/>
      <c r="E132" s="92"/>
    </row>
    <row r="133" spans="1:5" ht="15.75">
      <c r="A133" s="91"/>
      <c r="B133" s="91"/>
      <c r="C133" s="92"/>
      <c r="D133" s="92"/>
      <c r="E133" s="92"/>
    </row>
    <row r="134" spans="1:5" ht="15.75">
      <c r="A134" s="91"/>
      <c r="B134" s="91"/>
      <c r="C134" s="92"/>
      <c r="D134" s="92"/>
      <c r="E134" s="92"/>
    </row>
    <row r="135" spans="1:5" ht="15.75">
      <c r="A135" s="91"/>
      <c r="B135" s="91"/>
      <c r="C135" s="92"/>
      <c r="D135" s="92"/>
      <c r="E135" s="92"/>
    </row>
    <row r="136" spans="1:5" ht="15.75">
      <c r="A136" s="91"/>
      <c r="B136" s="91"/>
      <c r="C136" s="92"/>
      <c r="D136" s="92"/>
      <c r="E136" s="92"/>
    </row>
    <row r="137" spans="1:5" ht="15.75">
      <c r="A137" s="91"/>
      <c r="B137" s="91"/>
      <c r="C137" s="92"/>
      <c r="D137" s="92"/>
      <c r="E137" s="92"/>
    </row>
    <row r="138" spans="1:5" ht="15.75">
      <c r="A138" s="91"/>
      <c r="B138" s="91"/>
      <c r="C138" s="92"/>
      <c r="D138" s="92"/>
      <c r="E138" s="92"/>
    </row>
    <row r="139" spans="1:5" ht="15.75">
      <c r="A139" s="91"/>
      <c r="B139" s="91"/>
      <c r="C139" s="92"/>
      <c r="D139" s="92"/>
      <c r="E139" s="92"/>
    </row>
    <row r="140" spans="1:5" ht="15.75">
      <c r="A140" s="91"/>
      <c r="B140" s="91"/>
      <c r="C140" s="92"/>
      <c r="D140" s="92"/>
      <c r="E140" s="92"/>
    </row>
    <row r="141" spans="1:5" ht="15.75">
      <c r="A141" s="91"/>
      <c r="B141" s="91"/>
      <c r="C141" s="92"/>
      <c r="D141" s="92"/>
      <c r="E141" s="92"/>
    </row>
    <row r="142" spans="1:5" ht="15.75">
      <c r="A142" s="91"/>
      <c r="B142" s="91"/>
      <c r="C142" s="92"/>
      <c r="D142" s="92"/>
      <c r="E142" s="92"/>
    </row>
    <row r="143" spans="1:5" ht="15.75">
      <c r="A143" s="91"/>
      <c r="B143" s="91"/>
      <c r="C143" s="92"/>
      <c r="D143" s="92"/>
      <c r="E143" s="92"/>
    </row>
    <row r="144" spans="1:5" ht="15.75">
      <c r="A144" s="91"/>
      <c r="B144" s="91"/>
      <c r="C144" s="92"/>
      <c r="D144" s="92"/>
      <c r="E144" s="92"/>
    </row>
    <row r="145" spans="1:5" ht="15.75">
      <c r="A145" s="91"/>
      <c r="B145" s="91"/>
      <c r="C145" s="92"/>
      <c r="D145" s="92"/>
      <c r="E145" s="92"/>
    </row>
    <row r="146" spans="1:5" ht="15.75">
      <c r="A146" s="91"/>
      <c r="B146" s="91"/>
      <c r="C146" s="92"/>
      <c r="D146" s="92"/>
      <c r="E146" s="92"/>
    </row>
    <row r="147" spans="1:4" ht="15.75">
      <c r="A147" s="91"/>
      <c r="B147" s="91"/>
      <c r="C147" s="92"/>
      <c r="D147" s="92"/>
    </row>
    <row r="148" spans="1:4" ht="15.75">
      <c r="A148" s="91"/>
      <c r="B148" s="91"/>
      <c r="C148" s="92"/>
      <c r="D148" s="92"/>
    </row>
    <row r="149" spans="1:4" ht="15.75">
      <c r="A149" s="91"/>
      <c r="B149" s="91"/>
      <c r="C149" s="92"/>
      <c r="D149" s="92"/>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18.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0" customWidth="1"/>
    <col min="5" max="5" width="5.28125" style="8" customWidth="1"/>
    <col min="6" max="6" width="16.57421875" style="8" customWidth="1"/>
    <col min="7" max="7" width="14.57421875" style="8" customWidth="1"/>
    <col min="8" max="8" width="14.28125" style="52" customWidth="1"/>
    <col min="9" max="9" width="17.8515625" style="52" bestFit="1" customWidth="1"/>
    <col min="10" max="10" width="25.421875" style="7" customWidth="1"/>
    <col min="11" max="11" width="13.421875" style="141" customWidth="1"/>
    <col min="12" max="12" width="5.8515625" style="186" customWidth="1"/>
    <col min="13" max="13" width="14.8515625" style="186" customWidth="1"/>
    <col min="14" max="14" width="9.7109375" style="52" customWidth="1"/>
    <col min="15" max="15" width="11.57421875" style="222" bestFit="1" customWidth="1"/>
    <col min="16" max="16" width="11.57421875" style="52" bestFit="1" customWidth="1"/>
    <col min="17" max="16384" width="9.140625" style="52" customWidth="1"/>
  </cols>
  <sheetData>
    <row r="1" spans="1:15" s="49" customFormat="1" ht="22.5" customHeight="1">
      <c r="A1" s="994" t="s">
        <v>77</v>
      </c>
      <c r="B1" s="994"/>
      <c r="C1" s="994"/>
      <c r="D1" s="994"/>
      <c r="E1" s="994"/>
      <c r="F1" s="994"/>
      <c r="G1" s="994"/>
      <c r="H1" s="1036" t="s">
        <v>233</v>
      </c>
      <c r="I1" s="1037"/>
      <c r="J1" s="1037"/>
      <c r="K1" s="1037"/>
      <c r="L1" s="1037"/>
      <c r="M1" s="1038"/>
      <c r="O1" s="223"/>
    </row>
    <row r="2" spans="1:15" s="17" customFormat="1" ht="18.75">
      <c r="A2" s="1041"/>
      <c r="B2" s="1041"/>
      <c r="C2" s="1041"/>
      <c r="D2" s="1041"/>
      <c r="E2" s="1041"/>
      <c r="F2" s="1041"/>
      <c r="G2" s="1041"/>
      <c r="H2" s="1039" t="s">
        <v>234</v>
      </c>
      <c r="I2" s="1035"/>
      <c r="J2" s="1035"/>
      <c r="K2" s="1035"/>
      <c r="L2" s="1035"/>
      <c r="M2" s="1040"/>
      <c r="O2" s="224"/>
    </row>
    <row r="3" spans="1:13" ht="12.75">
      <c r="A3" s="50"/>
      <c r="B3" s="51"/>
      <c r="C3" s="51"/>
      <c r="D3" s="204"/>
      <c r="E3" s="51"/>
      <c r="F3" s="51"/>
      <c r="G3" s="51"/>
      <c r="H3" s="65" t="s">
        <v>308</v>
      </c>
      <c r="I3" s="10" t="s">
        <v>281</v>
      </c>
      <c r="J3" s="10"/>
      <c r="K3" s="262"/>
      <c r="L3" s="178" t="s">
        <v>279</v>
      </c>
      <c r="M3" s="177" t="s">
        <v>283</v>
      </c>
    </row>
    <row r="4" spans="1:15" s="53" customFormat="1" ht="15.75">
      <c r="A4" s="1035" t="s">
        <v>14</v>
      </c>
      <c r="B4" s="1035"/>
      <c r="C4" s="1035"/>
      <c r="D4" s="1035"/>
      <c r="E4" s="1035"/>
      <c r="F4" s="1035"/>
      <c r="G4" s="1035"/>
      <c r="H4" s="65" t="s">
        <v>235</v>
      </c>
      <c r="I4" s="66"/>
      <c r="J4" s="66"/>
      <c r="K4" s="263"/>
      <c r="L4" s="178"/>
      <c r="M4" s="179"/>
      <c r="O4" s="225"/>
    </row>
    <row r="5" spans="1:16" s="53" customFormat="1" ht="15.75">
      <c r="A5" s="1035" t="s">
        <v>305</v>
      </c>
      <c r="B5" s="1035"/>
      <c r="C5" s="1035"/>
      <c r="D5" s="1035"/>
      <c r="E5" s="1035"/>
      <c r="F5" s="1035"/>
      <c r="G5" s="1035"/>
      <c r="H5" s="65" t="s">
        <v>236</v>
      </c>
      <c r="I5" s="66" t="s">
        <v>237</v>
      </c>
      <c r="J5" s="66" t="s">
        <v>238</v>
      </c>
      <c r="K5" s="263" t="s">
        <v>239</v>
      </c>
      <c r="L5" s="176"/>
      <c r="M5" s="179" t="s">
        <v>240</v>
      </c>
      <c r="O5" s="225"/>
      <c r="P5" s="225"/>
    </row>
    <row r="6" spans="1:16" ht="12.75">
      <c r="A6" s="54"/>
      <c r="B6" s="54"/>
      <c r="C6" s="54"/>
      <c r="D6" s="205"/>
      <c r="E6" s="54"/>
      <c r="F6" s="54"/>
      <c r="G6" s="54"/>
      <c r="H6" s="67"/>
      <c r="I6" s="68"/>
      <c r="J6" s="68"/>
      <c r="K6" s="264"/>
      <c r="L6" s="180"/>
      <c r="M6" s="181"/>
      <c r="O6" s="68"/>
      <c r="P6" s="68"/>
    </row>
    <row r="7" spans="1:16" ht="38.25">
      <c r="A7" s="55"/>
      <c r="B7" s="56" t="s">
        <v>266</v>
      </c>
      <c r="C7" s="56" t="s">
        <v>267</v>
      </c>
      <c r="D7" s="206" t="s">
        <v>268</v>
      </c>
      <c r="E7" s="56"/>
      <c r="F7" s="56" t="s">
        <v>25</v>
      </c>
      <c r="G7" s="56" t="s">
        <v>269</v>
      </c>
      <c r="H7" s="69">
        <v>37621</v>
      </c>
      <c r="I7" s="10" t="s">
        <v>274</v>
      </c>
      <c r="J7" s="10" t="s">
        <v>45</v>
      </c>
      <c r="K7" s="262">
        <f>+F23</f>
        <v>2206.52</v>
      </c>
      <c r="L7" s="180"/>
      <c r="M7" s="177"/>
      <c r="P7" s="222"/>
    </row>
    <row r="8" spans="1:13" ht="12.75" hidden="1">
      <c r="A8" s="10"/>
      <c r="B8" s="10"/>
      <c r="C8" s="10"/>
      <c r="D8" s="207"/>
      <c r="E8" s="57"/>
      <c r="F8" s="57"/>
      <c r="G8" s="57"/>
      <c r="H8" s="64"/>
      <c r="I8" s="10" t="s">
        <v>53</v>
      </c>
      <c r="J8" s="10" t="s">
        <v>45</v>
      </c>
      <c r="K8" s="262">
        <f>+F29</f>
        <v>55.86</v>
      </c>
      <c r="L8" s="180"/>
      <c r="M8" s="177"/>
    </row>
    <row r="9" spans="1:16" ht="12.75" hidden="1">
      <c r="A9" s="10"/>
      <c r="B9" s="63"/>
      <c r="C9" s="63"/>
      <c r="D9" s="207"/>
      <c r="E9" s="57"/>
      <c r="F9" s="57"/>
      <c r="G9" s="57"/>
      <c r="H9" s="64"/>
      <c r="I9" s="10" t="s">
        <v>47</v>
      </c>
      <c r="J9" s="10" t="s">
        <v>45</v>
      </c>
      <c r="K9" s="262">
        <f>+F35</f>
        <v>51079.75</v>
      </c>
      <c r="L9" s="180"/>
      <c r="M9" s="177"/>
      <c r="P9" s="222"/>
    </row>
    <row r="10" spans="1:13" ht="12.75" hidden="1">
      <c r="A10" s="58"/>
      <c r="B10" s="62"/>
      <c r="C10" s="62"/>
      <c r="D10" s="218"/>
      <c r="E10" s="59"/>
      <c r="F10" s="59"/>
      <c r="G10" s="59"/>
      <c r="H10" s="64"/>
      <c r="I10" s="10" t="s">
        <v>296</v>
      </c>
      <c r="J10" s="10" t="s">
        <v>45</v>
      </c>
      <c r="K10" s="262">
        <f>+F41</f>
        <v>60568.8</v>
      </c>
      <c r="L10" s="180"/>
      <c r="M10" s="177"/>
    </row>
    <row r="11" spans="1:16" ht="12.75" hidden="1">
      <c r="A11" s="10"/>
      <c r="B11" s="211"/>
      <c r="C11" s="268"/>
      <c r="D11" s="207"/>
      <c r="E11" s="203"/>
      <c r="F11" s="279"/>
      <c r="G11" s="211"/>
      <c r="H11" s="64"/>
      <c r="I11" s="10" t="s">
        <v>54</v>
      </c>
      <c r="J11" s="10" t="s">
        <v>46</v>
      </c>
      <c r="K11" s="262">
        <f>+F30</f>
        <v>0</v>
      </c>
      <c r="L11" s="180"/>
      <c r="M11" s="177"/>
      <c r="P11" s="222"/>
    </row>
    <row r="12" spans="1:16" ht="12.75" hidden="1">
      <c r="A12" s="10"/>
      <c r="B12" s="211"/>
      <c r="C12" s="268"/>
      <c r="D12" s="207"/>
      <c r="E12" s="203"/>
      <c r="F12" s="281"/>
      <c r="G12" s="211"/>
      <c r="H12" s="64"/>
      <c r="I12" s="10" t="s">
        <v>325</v>
      </c>
      <c r="J12" s="10" t="s">
        <v>46</v>
      </c>
      <c r="K12" s="262">
        <f>+F36</f>
        <v>2606.21</v>
      </c>
      <c r="L12" s="180"/>
      <c r="M12" s="177"/>
      <c r="P12" s="222"/>
    </row>
    <row r="13" spans="1:13" ht="12.75" hidden="1">
      <c r="A13" s="10"/>
      <c r="B13" s="211"/>
      <c r="C13" s="269"/>
      <c r="D13" s="207"/>
      <c r="E13" s="203"/>
      <c r="F13" s="281"/>
      <c r="G13" s="211"/>
      <c r="H13" s="64"/>
      <c r="I13" s="10" t="s">
        <v>297</v>
      </c>
      <c r="J13" s="10" t="s">
        <v>46</v>
      </c>
      <c r="K13" s="262">
        <f>+F42</f>
        <v>23392.86</v>
      </c>
      <c r="L13" s="180"/>
      <c r="M13" s="177"/>
    </row>
    <row r="14" spans="2:16" ht="12.75" hidden="1">
      <c r="B14" s="173"/>
      <c r="C14" s="270"/>
      <c r="D14" s="207"/>
      <c r="E14" s="213"/>
      <c r="F14" s="280"/>
      <c r="G14" s="213"/>
      <c r="H14" s="64"/>
      <c r="I14" s="10" t="s">
        <v>48</v>
      </c>
      <c r="J14" s="10" t="s">
        <v>21</v>
      </c>
      <c r="K14" s="262">
        <f>+F37</f>
        <v>0</v>
      </c>
      <c r="L14" s="233"/>
      <c r="M14" s="234"/>
      <c r="P14" s="222"/>
    </row>
    <row r="15" spans="2:13" ht="12.75">
      <c r="B15" s="174"/>
      <c r="C15" s="271"/>
      <c r="D15" s="218"/>
      <c r="E15" s="203"/>
      <c r="F15" s="274"/>
      <c r="G15" s="203"/>
      <c r="H15" s="64"/>
      <c r="I15" s="10"/>
      <c r="J15" s="10"/>
      <c r="K15" s="262"/>
      <c r="L15" s="180"/>
      <c r="M15" s="177"/>
    </row>
    <row r="16" spans="1:13" ht="12.75">
      <c r="A16" s="58" t="s">
        <v>63</v>
      </c>
      <c r="B16" s="174"/>
      <c r="C16" s="174"/>
      <c r="D16" s="218"/>
      <c r="E16" s="203"/>
      <c r="F16" s="274"/>
      <c r="G16" s="203"/>
      <c r="H16" s="64"/>
      <c r="I16" s="10"/>
      <c r="J16" s="10"/>
      <c r="K16" s="262"/>
      <c r="L16" s="180"/>
      <c r="M16" s="177"/>
    </row>
    <row r="17" spans="1:13" ht="12.75">
      <c r="A17" s="10" t="s">
        <v>270</v>
      </c>
      <c r="B17" s="211">
        <f>+'[1]TB3-31-04 (Pre)'!G469</f>
        <v>0</v>
      </c>
      <c r="C17" s="211">
        <f>SUM('[1]TB03-31-04(Final)'!F361:F364)</f>
        <v>0</v>
      </c>
      <c r="D17" s="729" t="e">
        <f>C17/C20</f>
        <v>#DIV/0!</v>
      </c>
      <c r="E17" s="203"/>
      <c r="F17" s="272" t="e">
        <f>SUM('[1]TB03-31-04(Final)'!F523:F524)</f>
        <v>#REF!</v>
      </c>
      <c r="G17" s="211" t="e">
        <f>+B17+F17</f>
        <v>#REF!</v>
      </c>
      <c r="H17" s="236" t="s">
        <v>306</v>
      </c>
      <c r="I17" s="10" t="s">
        <v>276</v>
      </c>
      <c r="J17" s="10" t="s">
        <v>277</v>
      </c>
      <c r="K17" s="262"/>
      <c r="L17" s="176"/>
      <c r="M17" s="177">
        <f>SUM(K7:K17)+0.01</f>
        <v>139910.01</v>
      </c>
    </row>
    <row r="18" spans="1:16" ht="12.75">
      <c r="A18" s="10" t="s">
        <v>271</v>
      </c>
      <c r="B18" s="211" t="e">
        <f>+'[1]TB03-31-04(Final)'!F469+'[1]TB03-31-04(Final)'!F470</f>
        <v>#REF!</v>
      </c>
      <c r="C18" s="211">
        <f>SUM('[1]TB03-31-04(Final)'!F370:F372)</f>
        <v>0</v>
      </c>
      <c r="D18" s="729" t="e">
        <f>C18/C20</f>
        <v>#DIV/0!</v>
      </c>
      <c r="E18" s="203"/>
      <c r="F18" s="272" t="e">
        <f>SUM('[1]TB03-31-04(Final)'!F530:F531)</f>
        <v>#REF!</v>
      </c>
      <c r="G18" s="211" t="e">
        <f>+B18+F18</f>
        <v>#REF!</v>
      </c>
      <c r="H18" s="236" t="s">
        <v>307</v>
      </c>
      <c r="I18" s="10"/>
      <c r="J18" s="10"/>
      <c r="K18" s="262"/>
      <c r="L18" s="176"/>
      <c r="M18" s="177"/>
      <c r="P18" s="222"/>
    </row>
    <row r="19" spans="1:13" ht="12.75">
      <c r="A19" s="10" t="s">
        <v>216</v>
      </c>
      <c r="B19" s="211">
        <v>0</v>
      </c>
      <c r="C19" s="212">
        <v>0</v>
      </c>
      <c r="D19" s="729" t="e">
        <f>C19/C20</f>
        <v>#DIV/0!</v>
      </c>
      <c r="E19" s="203"/>
      <c r="F19" s="272">
        <v>0</v>
      </c>
      <c r="G19" s="211">
        <v>0</v>
      </c>
      <c r="H19" s="64"/>
      <c r="I19" s="10"/>
      <c r="J19" s="10"/>
      <c r="K19" s="262"/>
      <c r="L19" s="176"/>
      <c r="M19" s="177"/>
    </row>
    <row r="20" spans="1:17" ht="13.5" thickBot="1">
      <c r="A20" s="8" t="s">
        <v>229</v>
      </c>
      <c r="B20" s="173" t="e">
        <f>SUM(B17:B19)</f>
        <v>#REF!</v>
      </c>
      <c r="C20" s="173">
        <f>SUM(C17:C19)</f>
        <v>0</v>
      </c>
      <c r="D20" s="727">
        <f>C20/$C$49</f>
        <v>0</v>
      </c>
      <c r="E20" s="213"/>
      <c r="F20" s="273" t="e">
        <f>SUM(F17:F19)</f>
        <v>#REF!</v>
      </c>
      <c r="G20" s="213" t="e">
        <f>SUM(G17:G19)</f>
        <v>#REF!</v>
      </c>
      <c r="H20" s="65" t="s">
        <v>241</v>
      </c>
      <c r="I20" s="10"/>
      <c r="J20" s="10"/>
      <c r="K20" s="277">
        <f>SUM(K7:K14)+0.01</f>
        <v>139910.01</v>
      </c>
      <c r="L20" s="182"/>
      <c r="M20" s="183">
        <f>SUM(M7:M19)</f>
        <v>139910.01</v>
      </c>
      <c r="N20" s="235"/>
      <c r="O20" s="232"/>
      <c r="P20" s="235"/>
      <c r="Q20" s="235">
        <f>SUM(P7:P18)</f>
        <v>0</v>
      </c>
    </row>
    <row r="21" spans="2:13" ht="13.5" thickTop="1">
      <c r="B21" s="174"/>
      <c r="C21" s="174"/>
      <c r="D21" s="730"/>
      <c r="E21" s="203"/>
      <c r="F21" s="274"/>
      <c r="G21" s="203"/>
      <c r="H21" s="64"/>
      <c r="I21" s="10"/>
      <c r="J21" s="10"/>
      <c r="K21" s="262"/>
      <c r="L21" s="176"/>
      <c r="M21" s="276">
        <f>+F53</f>
        <v>495387.39</v>
      </c>
    </row>
    <row r="22" spans="1:13" ht="12.75">
      <c r="A22" s="58">
        <v>2000</v>
      </c>
      <c r="B22" s="174"/>
      <c r="C22" s="174"/>
      <c r="D22" s="730"/>
      <c r="E22" s="203"/>
      <c r="F22" s="274"/>
      <c r="G22" s="203"/>
      <c r="H22" s="64"/>
      <c r="I22" s="10"/>
      <c r="J22" s="10"/>
      <c r="K22" s="262"/>
      <c r="L22" s="176"/>
      <c r="M22" s="177"/>
    </row>
    <row r="23" spans="1:15" ht="12.75">
      <c r="A23" s="10" t="s">
        <v>270</v>
      </c>
      <c r="B23" s="174">
        <f>+'[1]TB3-31-04 (Pre)'!F470</f>
        <v>980.5</v>
      </c>
      <c r="C23" s="211">
        <f>+'[1]TB3-31-04 (Pre)'!F362</f>
        <v>59250</v>
      </c>
      <c r="D23" s="727">
        <f>C23/C26</f>
        <v>1</v>
      </c>
      <c r="E23" s="203"/>
      <c r="F23" s="272">
        <f>+'[1]TB3-31-04 (Pre)'!F517</f>
        <v>2206.52</v>
      </c>
      <c r="G23" s="211">
        <f>B23+F23</f>
        <v>3187.02</v>
      </c>
      <c r="H23" s="65" t="s">
        <v>242</v>
      </c>
      <c r="I23" s="66" t="s">
        <v>22</v>
      </c>
      <c r="J23" s="66"/>
      <c r="K23" s="262"/>
      <c r="L23" s="176"/>
      <c r="M23" s="177" t="s">
        <v>87</v>
      </c>
      <c r="O23" s="52"/>
    </row>
    <row r="24" spans="1:16" ht="12.75">
      <c r="A24" s="10" t="s">
        <v>271</v>
      </c>
      <c r="B24" s="211">
        <f>+'[1]TB03-31-04(Final)'!F471</f>
        <v>0</v>
      </c>
      <c r="C24" s="211">
        <f>+'[1]TB3-31-04 (Pre)'!F370</f>
        <v>0</v>
      </c>
      <c r="D24" s="727">
        <f>C24/C26</f>
        <v>0</v>
      </c>
      <c r="E24" s="203"/>
      <c r="F24" s="272">
        <f>+'[1]TB03-31-04(Final)'!F532</f>
        <v>0</v>
      </c>
      <c r="G24" s="211">
        <f>B24+F24</f>
        <v>0</v>
      </c>
      <c r="H24" s="65" t="s">
        <v>280</v>
      </c>
      <c r="I24" s="66" t="s">
        <v>282</v>
      </c>
      <c r="J24" s="66"/>
      <c r="K24" s="262"/>
      <c r="L24" s="176"/>
      <c r="M24" s="177"/>
      <c r="O24" s="227"/>
      <c r="P24" s="228"/>
    </row>
    <row r="25" spans="1:16" ht="12.75">
      <c r="A25" s="10" t="s">
        <v>216</v>
      </c>
      <c r="B25" s="211">
        <f>+'[1]TB03-31-04(Final)'!D486</f>
        <v>-374.81</v>
      </c>
      <c r="C25" s="211">
        <v>0</v>
      </c>
      <c r="D25" s="727">
        <f>C25/C26</f>
        <v>0</v>
      </c>
      <c r="E25" s="203"/>
      <c r="F25" s="272">
        <v>0</v>
      </c>
      <c r="G25" s="211">
        <f>F25+B25</f>
        <v>-374.81</v>
      </c>
      <c r="H25" s="64"/>
      <c r="I25" s="70"/>
      <c r="J25" s="10"/>
      <c r="K25" s="262"/>
      <c r="L25" s="176"/>
      <c r="M25" s="177"/>
      <c r="O25" s="227"/>
      <c r="P25" s="228"/>
    </row>
    <row r="26" spans="1:15" ht="13.5" thickBot="1">
      <c r="A26" s="8" t="s">
        <v>229</v>
      </c>
      <c r="B26" s="173">
        <f>SUM(B23:B25)</f>
        <v>605.69</v>
      </c>
      <c r="C26" s="173">
        <f>SUM(C23:C25)</f>
        <v>59250</v>
      </c>
      <c r="D26" s="727">
        <f>C26/$C$49</f>
        <v>0.015765811858006993</v>
      </c>
      <c r="E26" s="213"/>
      <c r="F26" s="273">
        <f>SUM(F23:F25)</f>
        <v>2206.52</v>
      </c>
      <c r="G26" s="213">
        <f>SUM(G23:G25)</f>
        <v>2812.21</v>
      </c>
      <c r="H26" s="65" t="s">
        <v>243</v>
      </c>
      <c r="I26" s="71"/>
      <c r="J26" s="71"/>
      <c r="K26" s="262"/>
      <c r="L26" s="176"/>
      <c r="M26" s="177"/>
      <c r="O26" s="52"/>
    </row>
    <row r="27" spans="2:13" ht="12.75">
      <c r="B27" s="174"/>
      <c r="C27" s="174"/>
      <c r="D27" s="730"/>
      <c r="E27" s="203"/>
      <c r="F27" s="274"/>
      <c r="G27" s="203"/>
      <c r="H27" s="65"/>
      <c r="I27" s="66" t="s">
        <v>18</v>
      </c>
      <c r="J27" s="66"/>
      <c r="K27" s="262"/>
      <c r="L27" s="176"/>
      <c r="M27" s="177"/>
    </row>
    <row r="28" spans="1:13" ht="12.75">
      <c r="A28" s="58">
        <v>2001</v>
      </c>
      <c r="B28" s="174"/>
      <c r="C28" s="174"/>
      <c r="D28" s="730"/>
      <c r="E28" s="203"/>
      <c r="F28" s="274"/>
      <c r="G28" s="203"/>
      <c r="H28" s="65"/>
      <c r="I28" s="66"/>
      <c r="J28" s="66"/>
      <c r="K28" s="262"/>
      <c r="L28" s="176"/>
      <c r="M28" s="177"/>
    </row>
    <row r="29" spans="1:13" ht="13.5" thickBot="1">
      <c r="A29" s="10" t="s">
        <v>270</v>
      </c>
      <c r="B29" s="174">
        <f>+'[1]TB3-31-04 (Pre)'!F471</f>
        <v>728.14</v>
      </c>
      <c r="C29" s="211">
        <f>+'[1]TB3-31-04 (Pre)'!F363</f>
        <v>1500</v>
      </c>
      <c r="D29" s="727">
        <f>C29/C32</f>
        <v>1</v>
      </c>
      <c r="E29" s="203"/>
      <c r="F29" s="272">
        <f>+'[1]TB3-31-04 (Pre)'!F518</f>
        <v>55.86</v>
      </c>
      <c r="G29" s="211">
        <f>B29+F29</f>
        <v>784</v>
      </c>
      <c r="H29" s="65" t="s">
        <v>355</v>
      </c>
      <c r="I29" s="71"/>
      <c r="J29" s="71"/>
      <c r="K29" s="263" t="s">
        <v>236</v>
      </c>
      <c r="L29" s="178"/>
      <c r="M29" s="177"/>
    </row>
    <row r="30" spans="1:13" ht="12.75">
      <c r="A30" s="10" t="s">
        <v>271</v>
      </c>
      <c r="B30" s="211">
        <f>+'[1]TB3-31-04 (Pre)'!F478</f>
        <v>254</v>
      </c>
      <c r="C30" s="211">
        <f>+'[1]TB3-31-04 (Pre)'!F371</f>
        <v>0</v>
      </c>
      <c r="D30" s="727">
        <f>C30/C32</f>
        <v>0</v>
      </c>
      <c r="E30" s="203"/>
      <c r="F30" s="272">
        <f>+'[1]TB3-31-04 (Pre)'!F525</f>
        <v>0</v>
      </c>
      <c r="G30" s="211">
        <f>B30+F30</f>
        <v>254</v>
      </c>
      <c r="H30" s="65"/>
      <c r="I30" s="66" t="s">
        <v>278</v>
      </c>
      <c r="J30" s="66"/>
      <c r="K30" s="263"/>
      <c r="L30" s="178"/>
      <c r="M30" s="177"/>
    </row>
    <row r="31" spans="1:13" ht="12.75">
      <c r="A31" s="10" t="s">
        <v>216</v>
      </c>
      <c r="B31" s="212">
        <v>0</v>
      </c>
      <c r="C31" s="212">
        <v>0</v>
      </c>
      <c r="D31" s="727">
        <f>C31/C32</f>
        <v>0</v>
      </c>
      <c r="E31" s="203"/>
      <c r="F31" s="272">
        <f>+'[1]TB03-31-04(Final)'!F548</f>
        <v>1047.62</v>
      </c>
      <c r="G31" s="211">
        <f>F31+B31</f>
        <v>1047.62</v>
      </c>
      <c r="H31" s="65"/>
      <c r="I31" s="66"/>
      <c r="J31" s="66"/>
      <c r="K31" s="263"/>
      <c r="L31" s="178"/>
      <c r="M31" s="177"/>
    </row>
    <row r="32" spans="1:13" ht="13.5" thickBot="1">
      <c r="A32" s="8" t="s">
        <v>229</v>
      </c>
      <c r="B32" s="173">
        <f>SUM(B29:B31)</f>
        <v>982.14</v>
      </c>
      <c r="C32" s="173">
        <f>SUM(C29:C31)</f>
        <v>1500</v>
      </c>
      <c r="D32" s="727">
        <f>C32/$C$49</f>
        <v>0.00039913447741789855</v>
      </c>
      <c r="E32" s="213"/>
      <c r="F32" s="273">
        <f>SUM(F29:F31)</f>
        <v>1103.4799999999998</v>
      </c>
      <c r="G32" s="213">
        <f>SUM(G29:G31)</f>
        <v>2085.62</v>
      </c>
      <c r="H32" s="65" t="s">
        <v>244</v>
      </c>
      <c r="I32" s="71"/>
      <c r="J32" s="71"/>
      <c r="K32" s="263"/>
      <c r="L32" s="178"/>
      <c r="M32" s="177"/>
    </row>
    <row r="33" spans="2:13" ht="12.75">
      <c r="B33" s="174"/>
      <c r="C33" s="174"/>
      <c r="D33" s="730"/>
      <c r="E33" s="203"/>
      <c r="F33" s="274"/>
      <c r="G33" s="203"/>
      <c r="H33" s="65"/>
      <c r="I33" s="66" t="s">
        <v>245</v>
      </c>
      <c r="J33" s="66"/>
      <c r="K33" s="263"/>
      <c r="L33" s="178"/>
      <c r="M33" s="177"/>
    </row>
    <row r="34" spans="1:13" ht="12.75">
      <c r="A34" s="58">
        <v>2002</v>
      </c>
      <c r="B34" s="174"/>
      <c r="C34" s="174"/>
      <c r="D34" s="730"/>
      <c r="E34" s="203"/>
      <c r="F34" s="274"/>
      <c r="G34" s="203"/>
      <c r="H34" s="65"/>
      <c r="I34" s="66"/>
      <c r="J34" s="66"/>
      <c r="K34" s="263"/>
      <c r="L34" s="178" t="s">
        <v>247</v>
      </c>
      <c r="M34" s="177"/>
    </row>
    <row r="35" spans="1:13" ht="13.5" thickBot="1">
      <c r="A35" s="10" t="s">
        <v>270</v>
      </c>
      <c r="B35" s="174">
        <f>+'[1]TB3-31-04 (Pre)'!F472</f>
        <v>40871.79</v>
      </c>
      <c r="C35" s="211">
        <f>+'[1]TB3-31-04 (Pre)'!F364</f>
        <v>1371608.06</v>
      </c>
      <c r="D35" s="727">
        <f>C35/C38</f>
        <v>0.9514546164884548</v>
      </c>
      <c r="E35" s="214"/>
      <c r="F35" s="272">
        <f>+'[1]TB3-31-04 (Pre)'!F519</f>
        <v>51079.75</v>
      </c>
      <c r="G35" s="211">
        <f>B35+F35</f>
        <v>91951.54000000001</v>
      </c>
      <c r="H35" s="65" t="s">
        <v>246</v>
      </c>
      <c r="I35" s="71"/>
      <c r="J35" s="71"/>
      <c r="K35" s="263"/>
      <c r="L35" s="178"/>
      <c r="M35" s="177"/>
    </row>
    <row r="36" spans="1:13" ht="13.5" thickBot="1">
      <c r="A36" s="10" t="s">
        <v>271</v>
      </c>
      <c r="B36" s="211">
        <f>+'[1]TB3-31-04 (Pre)'!F479</f>
        <v>36651.02</v>
      </c>
      <c r="C36" s="211">
        <f>+'[1]TB3-31-04 (Pre)'!F372</f>
        <v>69982.57</v>
      </c>
      <c r="D36" s="727">
        <f>C36/C38</f>
        <v>0.04854538351154516</v>
      </c>
      <c r="E36" s="214"/>
      <c r="F36" s="272">
        <f>+'[1]TB3-31-04 (Pre)'!F526</f>
        <v>2606.21</v>
      </c>
      <c r="G36" s="211">
        <f>B36+F36</f>
        <v>39257.229999999996</v>
      </c>
      <c r="H36" s="72"/>
      <c r="I36" s="71" t="s">
        <v>56</v>
      </c>
      <c r="J36" s="71"/>
      <c r="K36" s="265"/>
      <c r="L36" s="184"/>
      <c r="M36" s="185"/>
    </row>
    <row r="37" spans="1:10" ht="12.75">
      <c r="A37" s="10" t="s">
        <v>216</v>
      </c>
      <c r="B37" s="212">
        <f>+'[1]TB03-31-04(Final)'!F479</f>
        <v>0</v>
      </c>
      <c r="C37" s="212">
        <f>+'[1]TB3-31-04 (Pre)'!F379</f>
        <v>0</v>
      </c>
      <c r="D37" s="727">
        <f>C37/C38</f>
        <v>0</v>
      </c>
      <c r="E37" s="214"/>
      <c r="F37" s="272">
        <f>+'[1]TB03-31-04(Final)'!F540</f>
        <v>0</v>
      </c>
      <c r="G37" s="211">
        <f>F37+B37</f>
        <v>0</v>
      </c>
      <c r="H37" s="8"/>
      <c r="I37" s="8"/>
      <c r="J37" s="8"/>
    </row>
    <row r="38" spans="1:10" ht="12.75">
      <c r="A38" s="8" t="s">
        <v>229</v>
      </c>
      <c r="B38" s="173">
        <f>SUM(B35:B37)</f>
        <v>77522.81</v>
      </c>
      <c r="C38" s="173">
        <f>SUM(C35:C37)</f>
        <v>1441590.6300000001</v>
      </c>
      <c r="D38" s="727">
        <f>C38/$C$49</f>
        <v>0.38359234850372614</v>
      </c>
      <c r="E38" s="215"/>
      <c r="F38" s="273">
        <f>SUM(F35:F37)</f>
        <v>53685.96</v>
      </c>
      <c r="G38" s="213">
        <f>SUM(G35:G37)</f>
        <v>131208.77000000002</v>
      </c>
      <c r="H38" s="8"/>
      <c r="I38" s="8"/>
      <c r="J38" s="8"/>
    </row>
    <row r="39" spans="2:10" ht="12.75">
      <c r="B39" s="172"/>
      <c r="C39" s="172"/>
      <c r="D39" s="727"/>
      <c r="E39" s="293"/>
      <c r="F39" s="272"/>
      <c r="G39" s="211"/>
      <c r="H39" s="8"/>
      <c r="I39" s="8"/>
      <c r="J39" s="8"/>
    </row>
    <row r="40" spans="1:15" s="135" customFormat="1" ht="12.75">
      <c r="A40" s="58">
        <v>2003</v>
      </c>
      <c r="B40" s="174"/>
      <c r="C40" s="174"/>
      <c r="D40" s="730"/>
      <c r="E40" s="203"/>
      <c r="F40" s="274"/>
      <c r="G40" s="203"/>
      <c r="H40" s="8"/>
      <c r="I40" s="8"/>
      <c r="J40" s="8"/>
      <c r="K40" s="141"/>
      <c r="L40" s="186"/>
      <c r="M40" s="186"/>
      <c r="O40" s="226"/>
    </row>
    <row r="41" spans="1:15" s="135" customFormat="1" ht="12.75">
      <c r="A41" s="10" t="s">
        <v>270</v>
      </c>
      <c r="B41" s="174">
        <f>+'[1]TB3-31-04 (Pre)'!F473</f>
        <v>87858.67</v>
      </c>
      <c r="C41" s="211">
        <f>+'[1]TB3-31-04 (Pre)'!F365</f>
        <v>1626410.46</v>
      </c>
      <c r="D41" s="727">
        <f>C41/C44</f>
        <v>0.7209933397914958</v>
      </c>
      <c r="E41" s="214"/>
      <c r="F41" s="272">
        <f>+'[1]TB3-31-04 (Pre)'!F520</f>
        <v>60568.8</v>
      </c>
      <c r="G41" s="211">
        <f>B41+F41</f>
        <v>148427.47</v>
      </c>
      <c r="H41" s="93"/>
      <c r="I41" s="93"/>
      <c r="J41" s="93"/>
      <c r="K41" s="278"/>
      <c r="L41" s="187"/>
      <c r="M41" s="187"/>
      <c r="O41" s="226"/>
    </row>
    <row r="42" spans="1:15" s="135" customFormat="1" ht="12.75">
      <c r="A42" s="10" t="s">
        <v>271</v>
      </c>
      <c r="B42" s="211">
        <f>+'[1]TB3-31-04 (Pre)'!F480</f>
        <v>122270.13</v>
      </c>
      <c r="C42" s="211">
        <f>+'[1]TB3-31-04 (Pre)'!F373</f>
        <v>628151.78</v>
      </c>
      <c r="D42" s="727">
        <f>C42/C44</f>
        <v>0.2784618402897956</v>
      </c>
      <c r="E42" s="214"/>
      <c r="F42" s="272">
        <f>+'[1]TB3-31-04 (Pre)'!F527</f>
        <v>23392.86</v>
      </c>
      <c r="G42" s="211">
        <f>B42+F42</f>
        <v>145662.99</v>
      </c>
      <c r="H42" s="93"/>
      <c r="I42" s="93"/>
      <c r="J42" s="93"/>
      <c r="K42" s="278"/>
      <c r="L42" s="187"/>
      <c r="M42" s="187"/>
      <c r="O42" s="226"/>
    </row>
    <row r="43" spans="1:15" s="135" customFormat="1" ht="12.75">
      <c r="A43" s="10" t="s">
        <v>216</v>
      </c>
      <c r="B43" s="212">
        <v>0</v>
      </c>
      <c r="C43" s="212">
        <f>+'[1]TB3-31-04 (Pre)'!F380</f>
        <v>1229</v>
      </c>
      <c r="D43" s="727">
        <f>C43/C44</f>
        <v>0.000544819918708435</v>
      </c>
      <c r="E43" s="214"/>
      <c r="F43" s="272">
        <f>+'[1]TB3-31-04 (Pre)'!F533</f>
        <v>45.77</v>
      </c>
      <c r="G43" s="211">
        <f>F43+B43</f>
        <v>45.77</v>
      </c>
      <c r="H43" s="93"/>
      <c r="I43" s="93"/>
      <c r="J43" s="93"/>
      <c r="K43" s="278"/>
      <c r="L43" s="187"/>
      <c r="M43" s="187"/>
      <c r="O43" s="226"/>
    </row>
    <row r="44" spans="1:13" ht="12.75">
      <c r="A44" s="8" t="s">
        <v>229</v>
      </c>
      <c r="B44" s="173">
        <f>SUM(B41:B43)</f>
        <v>210128.8</v>
      </c>
      <c r="C44" s="173">
        <f>SUM(C41:C43)</f>
        <v>2255791.24</v>
      </c>
      <c r="D44" s="727">
        <f>C44/$C$49</f>
        <v>0.600242705160849</v>
      </c>
      <c r="E44" s="215"/>
      <c r="F44" s="273">
        <f>SUM(F41:F43)</f>
        <v>84007.43000000001</v>
      </c>
      <c r="G44" s="213">
        <f>SUM(G41:G43)</f>
        <v>294136.23</v>
      </c>
      <c r="H44" s="93"/>
      <c r="I44" s="93"/>
      <c r="J44" s="93"/>
      <c r="K44" s="278"/>
      <c r="L44" s="187"/>
      <c r="M44" s="187"/>
    </row>
    <row r="45" spans="1:10" ht="12.75">
      <c r="A45" s="60" t="s">
        <v>272</v>
      </c>
      <c r="B45" s="174"/>
      <c r="C45" s="174"/>
      <c r="D45" s="730"/>
      <c r="E45" s="203"/>
      <c r="F45" s="274"/>
      <c r="G45" s="203"/>
      <c r="H45" s="8"/>
      <c r="I45" s="8"/>
      <c r="J45" s="8"/>
    </row>
    <row r="46" spans="1:7" ht="12.75">
      <c r="A46" s="66" t="s">
        <v>270</v>
      </c>
      <c r="B46" s="216">
        <f aca="true" t="shared" si="0" ref="B46:C48">+B11+B17+B23+B29+B35+B41</f>
        <v>130439.1</v>
      </c>
      <c r="C46" s="216">
        <f t="shared" si="0"/>
        <v>3058768.52</v>
      </c>
      <c r="D46" s="728">
        <f>C46/C49</f>
        <v>0.813906649848346</v>
      </c>
      <c r="E46" s="216"/>
      <c r="F46" s="295" t="e">
        <f>+F17+F23+F29+F35+F41</f>
        <v>#REF!</v>
      </c>
      <c r="G46" s="216" t="e">
        <f>B46+F46</f>
        <v>#REF!</v>
      </c>
    </row>
    <row r="47" spans="1:7" ht="12.75">
      <c r="A47" s="66" t="s">
        <v>271</v>
      </c>
      <c r="B47" s="216" t="e">
        <f t="shared" si="0"/>
        <v>#REF!</v>
      </c>
      <c r="C47" s="216">
        <f t="shared" si="0"/>
        <v>698134.3500000001</v>
      </c>
      <c r="D47" s="728">
        <f>C47/C49</f>
        <v>0.1857663259698229</v>
      </c>
      <c r="E47" s="216"/>
      <c r="F47" s="275" t="e">
        <f>+F18+F24+F30+F36+F42</f>
        <v>#REF!</v>
      </c>
      <c r="G47" s="216" t="e">
        <f>B47+F47</f>
        <v>#REF!</v>
      </c>
    </row>
    <row r="48" spans="1:7" ht="12.75">
      <c r="A48" s="66" t="s">
        <v>216</v>
      </c>
      <c r="B48" s="216">
        <f t="shared" si="0"/>
        <v>-374.81</v>
      </c>
      <c r="C48" s="216">
        <f t="shared" si="0"/>
        <v>1229</v>
      </c>
      <c r="D48" s="728">
        <f>C48/C49</f>
        <v>0.0003270241818310649</v>
      </c>
      <c r="E48" s="216"/>
      <c r="F48" s="275">
        <f>+F43+F37+F31+F25+F19</f>
        <v>1093.3899999999999</v>
      </c>
      <c r="G48" s="216">
        <f>B48+F48</f>
        <v>718.5799999999999</v>
      </c>
    </row>
    <row r="49" spans="1:7" ht="13.5" thickBot="1">
      <c r="A49" s="93" t="s">
        <v>229</v>
      </c>
      <c r="B49" s="302" t="e">
        <f>SUM(B46:B48)</f>
        <v>#REF!</v>
      </c>
      <c r="C49" s="302">
        <f>SUM(C46:C48)</f>
        <v>3758131.87</v>
      </c>
      <c r="D49" s="728">
        <f>C49/$C$49</f>
        <v>1</v>
      </c>
      <c r="E49" s="302"/>
      <c r="F49" s="303" t="e">
        <f>SUM(F46:F48)</f>
        <v>#REF!</v>
      </c>
      <c r="G49" s="302" t="e">
        <f>B49+F49</f>
        <v>#REF!</v>
      </c>
    </row>
    <row r="50" spans="1:15" s="557" customFormat="1" ht="13.5" thickTop="1">
      <c r="A50" s="553" t="s">
        <v>20</v>
      </c>
      <c r="B50" s="554">
        <f>+'[1]TB03-31-04(Final)'!G486</f>
        <v>292907.87</v>
      </c>
      <c r="C50" s="554">
        <f>+'[1]TB03-31-04(Final)'!G384</f>
        <v>3791762.3499999996</v>
      </c>
      <c r="D50" s="555"/>
      <c r="E50" s="556"/>
      <c r="F50" s="556">
        <f>+'[1]TB03-31-04(Final)'!G547</f>
        <v>139421.58999999997</v>
      </c>
      <c r="G50" s="556"/>
      <c r="J50" s="558"/>
      <c r="K50" s="559"/>
      <c r="L50" s="554"/>
      <c r="M50" s="554"/>
      <c r="O50" s="559"/>
    </row>
    <row r="51" spans="1:15" s="557" customFormat="1" ht="12.75">
      <c r="A51" s="553"/>
      <c r="B51" s="554" t="e">
        <f>+B49-B50</f>
        <v>#REF!</v>
      </c>
      <c r="C51" s="554">
        <f>+C49-C50</f>
        <v>-33630.479999999516</v>
      </c>
      <c r="D51" s="560"/>
      <c r="E51" s="556"/>
      <c r="F51" s="553" t="e">
        <f>+F49-F50</f>
        <v>#REF!</v>
      </c>
      <c r="G51" s="556"/>
      <c r="J51" s="558"/>
      <c r="K51" s="559"/>
      <c r="L51" s="554"/>
      <c r="M51" s="554"/>
      <c r="O51" s="559"/>
    </row>
    <row r="52" spans="1:7" ht="12.75">
      <c r="A52" s="296" t="s">
        <v>338</v>
      </c>
      <c r="B52" s="297"/>
      <c r="C52" s="297"/>
      <c r="D52" s="208"/>
      <c r="E52" s="174"/>
      <c r="F52" s="217"/>
      <c r="G52" s="174"/>
    </row>
    <row r="53" spans="1:7" ht="25.5">
      <c r="A53" s="61" t="s">
        <v>273</v>
      </c>
      <c r="B53" s="175"/>
      <c r="C53" s="175"/>
      <c r="D53" s="209"/>
      <c r="E53" s="203"/>
      <c r="F53" s="294">
        <v>495387.39</v>
      </c>
      <c r="G53" s="203"/>
    </row>
    <row r="55" spans="1:6" ht="12.75">
      <c r="A55" s="117" t="s">
        <v>15</v>
      </c>
      <c r="B55" s="122">
        <v>51200</v>
      </c>
      <c r="C55" s="123">
        <v>51100</v>
      </c>
      <c r="D55" s="219"/>
      <c r="E55" s="124"/>
      <c r="F55" s="124" t="s">
        <v>17</v>
      </c>
    </row>
    <row r="56" spans="2:3" ht="12.75">
      <c r="B56" s="186"/>
      <c r="C56" s="186"/>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0"/>
      <c r="E78" s="10"/>
      <c r="F78" s="10"/>
    </row>
    <row r="79" spans="1:6" ht="12.75">
      <c r="A79" s="10"/>
      <c r="B79" s="10"/>
      <c r="C79" s="10"/>
      <c r="D79" s="220"/>
      <c r="E79" s="10"/>
      <c r="F79" s="70"/>
    </row>
    <row r="80" spans="1:6" ht="12.75">
      <c r="A80" s="66"/>
      <c r="B80" s="10"/>
      <c r="C80" s="10"/>
      <c r="D80" s="221"/>
      <c r="E80" s="66"/>
      <c r="F80" s="145"/>
    </row>
    <row r="81" spans="1:7" ht="12.75">
      <c r="A81" s="10"/>
      <c r="B81" s="10"/>
      <c r="C81" s="10"/>
      <c r="D81" s="220"/>
      <c r="E81" s="10"/>
      <c r="F81" s="70"/>
      <c r="G81" s="52"/>
    </row>
    <row r="82" spans="1:7" ht="12.75">
      <c r="A82" s="10"/>
      <c r="B82" s="10"/>
      <c r="C82" s="10"/>
      <c r="D82" s="220"/>
      <c r="E82" s="10"/>
      <c r="F82" s="10"/>
      <c r="G82" s="52"/>
    </row>
    <row r="83" spans="1:7" ht="12.75">
      <c r="A83" s="66"/>
      <c r="B83" s="66"/>
      <c r="C83" s="66"/>
      <c r="D83" s="220"/>
      <c r="E83" s="10"/>
      <c r="F83" s="10"/>
      <c r="G83" s="52"/>
    </row>
    <row r="84" spans="1:7" ht="12.75">
      <c r="A84" s="66"/>
      <c r="B84" s="66"/>
      <c r="C84" s="66"/>
      <c r="D84" s="220"/>
      <c r="E84" s="10"/>
      <c r="F84" s="10"/>
      <c r="G84" s="52"/>
    </row>
    <row r="85" spans="1:7" ht="12.75">
      <c r="A85" s="10"/>
      <c r="B85" s="10"/>
      <c r="C85" s="10"/>
      <c r="D85" s="220"/>
      <c r="E85" s="10"/>
      <c r="F85" s="10"/>
      <c r="G85" s="52"/>
    </row>
    <row r="86" spans="1:7" ht="12.75">
      <c r="A86" s="10"/>
      <c r="B86" s="10"/>
      <c r="C86" s="10"/>
      <c r="D86" s="220"/>
      <c r="E86" s="10"/>
      <c r="F86" s="10"/>
      <c r="G86" s="52"/>
    </row>
    <row r="87" spans="1:7" ht="12.75">
      <c r="A87" s="10"/>
      <c r="B87" s="10"/>
      <c r="C87" s="10"/>
      <c r="D87" s="220"/>
      <c r="E87" s="10"/>
      <c r="F87" s="10"/>
      <c r="G87" s="52"/>
    </row>
    <row r="88" spans="1:7" ht="12.75">
      <c r="A88" s="66"/>
      <c r="B88" s="66"/>
      <c r="C88" s="66"/>
      <c r="D88" s="221"/>
      <c r="E88" s="66"/>
      <c r="F88" s="10"/>
      <c r="G88" s="52"/>
    </row>
    <row r="89" spans="1:7" ht="12.75">
      <c r="A89" s="66"/>
      <c r="B89" s="66"/>
      <c r="C89" s="66"/>
      <c r="D89" s="221"/>
      <c r="E89" s="66"/>
      <c r="F89" s="10"/>
      <c r="G89" s="52"/>
    </row>
    <row r="90" spans="1:7" ht="12.75">
      <c r="A90" s="66"/>
      <c r="B90" s="66"/>
      <c r="C90" s="66"/>
      <c r="D90" s="221"/>
      <c r="E90" s="66"/>
      <c r="F90" s="10"/>
      <c r="G90" s="52"/>
    </row>
    <row r="91" spans="1:7" ht="12.75">
      <c r="A91" s="66"/>
      <c r="B91" s="66"/>
      <c r="C91" s="66"/>
      <c r="D91" s="221"/>
      <c r="E91" s="66"/>
      <c r="F91" s="10"/>
      <c r="G91" s="52"/>
    </row>
    <row r="92" spans="1:7" ht="12.75">
      <c r="A92" s="66"/>
      <c r="B92" s="66"/>
      <c r="C92" s="66"/>
      <c r="D92" s="221"/>
      <c r="E92" s="66"/>
      <c r="F92" s="10"/>
      <c r="G92" s="52"/>
    </row>
    <row r="93" spans="1:7" ht="12.75">
      <c r="A93" s="66"/>
      <c r="B93" s="66"/>
      <c r="C93" s="66"/>
      <c r="D93" s="221"/>
      <c r="E93" s="66"/>
      <c r="F93" s="10"/>
      <c r="G93" s="52"/>
    </row>
    <row r="94" spans="1:7" ht="12.75">
      <c r="A94" s="66"/>
      <c r="B94" s="66"/>
      <c r="C94" s="66"/>
      <c r="D94" s="221"/>
      <c r="E94" s="66"/>
      <c r="F94" s="10"/>
      <c r="G94" s="52"/>
    </row>
    <row r="95" spans="1:6" ht="12.75">
      <c r="A95" s="66"/>
      <c r="B95" s="66"/>
      <c r="C95" s="66"/>
      <c r="D95" s="221"/>
      <c r="E95" s="66"/>
      <c r="F95" s="10"/>
    </row>
    <row r="96" spans="1:6" ht="12.75">
      <c r="A96" s="10"/>
      <c r="B96" s="10"/>
      <c r="C96" s="10"/>
      <c r="D96" s="220"/>
      <c r="E96" s="10"/>
      <c r="F96" s="10"/>
    </row>
    <row r="97" spans="1:6" ht="12.75">
      <c r="A97" s="10"/>
      <c r="B97" s="10"/>
      <c r="C97" s="10"/>
      <c r="D97" s="220"/>
      <c r="E97" s="10"/>
      <c r="F97" s="10"/>
    </row>
    <row r="98" spans="1:6" ht="12.75">
      <c r="A98" s="10"/>
      <c r="B98" s="10"/>
      <c r="C98" s="10"/>
      <c r="D98" s="220"/>
      <c r="E98" s="10"/>
      <c r="F98" s="10"/>
    </row>
    <row r="99" spans="1:6" ht="12.75">
      <c r="A99" s="10"/>
      <c r="B99" s="10"/>
      <c r="C99" s="10"/>
      <c r="D99" s="220"/>
      <c r="E99" s="10"/>
      <c r="F99" s="10"/>
    </row>
    <row r="100" spans="1:6" ht="12.75">
      <c r="A100" s="10"/>
      <c r="B100" s="10"/>
      <c r="C100" s="10"/>
      <c r="D100" s="220"/>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19.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42" t="s">
        <v>372</v>
      </c>
      <c r="B2" s="1042"/>
      <c r="C2" s="1042"/>
      <c r="D2" s="1042"/>
      <c r="E2" s="1042"/>
      <c r="F2" s="1042"/>
      <c r="G2" s="1042"/>
      <c r="H2" s="1042"/>
      <c r="I2" s="1042"/>
      <c r="J2" s="1042"/>
    </row>
    <row r="3" spans="1:7" ht="19.5" customHeight="1">
      <c r="A3" s="242"/>
      <c r="B3" s="243"/>
      <c r="C3" s="243"/>
      <c r="E3" s="243"/>
      <c r="F3" s="243"/>
      <c r="G3" s="243"/>
    </row>
    <row r="4" spans="1:10" ht="19.5" customHeight="1">
      <c r="A4" s="1043" t="s">
        <v>373</v>
      </c>
      <c r="B4" s="1043"/>
      <c r="C4" s="1043"/>
      <c r="D4" s="1043"/>
      <c r="E4" s="1043"/>
      <c r="F4" s="1043"/>
      <c r="G4" s="1043"/>
      <c r="H4" s="1043"/>
      <c r="I4" s="1043"/>
      <c r="J4" s="1043"/>
    </row>
    <row r="5" ht="19.5" customHeight="1">
      <c r="B5" s="9"/>
    </row>
    <row r="6" spans="2:10" ht="19.5" customHeight="1">
      <c r="B6" s="1044" t="s">
        <v>252</v>
      </c>
      <c r="C6" s="1044"/>
      <c r="D6" s="1044"/>
      <c r="E6" s="6"/>
      <c r="F6" s="6"/>
      <c r="G6" s="6"/>
      <c r="H6" s="140" t="s">
        <v>253</v>
      </c>
      <c r="I6" s="140"/>
      <c r="J6" s="139"/>
    </row>
    <row r="7" spans="2:10" ht="19.5" customHeight="1" thickBot="1">
      <c r="B7" s="1045" t="s">
        <v>374</v>
      </c>
      <c r="C7" s="1045"/>
      <c r="D7" s="1045"/>
      <c r="E7" s="247"/>
      <c r="F7" s="247"/>
      <c r="G7" s="247"/>
      <c r="H7" s="1045" t="s">
        <v>374</v>
      </c>
      <c r="I7" s="1045"/>
      <c r="J7" s="1045"/>
    </row>
    <row r="8" spans="2:10" ht="19.5" customHeight="1" thickBot="1">
      <c r="B8" s="244">
        <v>2002</v>
      </c>
      <c r="C8" s="138"/>
      <c r="D8" s="244">
        <v>2001</v>
      </c>
      <c r="E8" s="138"/>
      <c r="F8" s="353" t="s">
        <v>44</v>
      </c>
      <c r="G8" s="138"/>
      <c r="H8" s="244">
        <v>2002</v>
      </c>
      <c r="I8" s="138"/>
      <c r="J8" s="244">
        <v>2001</v>
      </c>
    </row>
    <row r="9" spans="1:9" ht="19.5" customHeight="1">
      <c r="A9" s="14"/>
      <c r="B9" s="111"/>
      <c r="C9" s="111"/>
      <c r="D9" s="14"/>
      <c r="E9" s="129"/>
      <c r="F9" s="129"/>
      <c r="G9" s="129"/>
      <c r="I9" s="44"/>
    </row>
    <row r="10" spans="1:10" ht="19.5" customHeight="1">
      <c r="A10" s="94" t="s">
        <v>375</v>
      </c>
      <c r="B10" s="130">
        <f>-'[1]TB03-31-04(Final)'!E317</f>
        <v>5676242</v>
      </c>
      <c r="C10" s="130"/>
      <c r="D10" s="130">
        <f>+'[5]Highlights (pg 1)'!$B$10</f>
        <v>4280821</v>
      </c>
      <c r="E10" s="130"/>
      <c r="F10" s="355">
        <f>(+B10-D10)/D10</f>
        <v>0.3259704154880571</v>
      </c>
      <c r="G10" s="130"/>
      <c r="H10" s="130">
        <f>-'[1]TB03-31-04(Final)'!G317</f>
        <v>5676242</v>
      </c>
      <c r="I10" s="130"/>
      <c r="J10" s="130">
        <f>+'[5]Highlights (pg 1)'!$F$10</f>
        <v>16190670</v>
      </c>
    </row>
    <row r="11" spans="1:10" ht="19.5" customHeight="1">
      <c r="A11" s="94"/>
      <c r="B11" s="111"/>
      <c r="C11" s="111"/>
      <c r="D11" s="111"/>
      <c r="E11" s="111"/>
      <c r="F11" s="354"/>
      <c r="G11" s="111"/>
      <c r="H11" s="111"/>
      <c r="I11" s="14"/>
      <c r="J11" s="111"/>
    </row>
    <row r="12" spans="1:10" ht="19.5" customHeight="1">
      <c r="A12" s="94" t="s">
        <v>376</v>
      </c>
      <c r="B12" s="111">
        <f>-'[1]TB03-31-04(Final)'!E338</f>
        <v>5376116</v>
      </c>
      <c r="C12" s="111"/>
      <c r="D12" s="111">
        <f>+'[5]Highlights (pg 1)'!$B$12</f>
        <v>4133399</v>
      </c>
      <c r="E12" s="111"/>
      <c r="F12" s="355">
        <f>(+B12-D12)/D12</f>
        <v>0.30065256221332615</v>
      </c>
      <c r="G12" s="111"/>
      <c r="H12" s="111">
        <f>-'[1]TB03-31-04(Final)'!G338</f>
        <v>5376116</v>
      </c>
      <c r="I12" s="111"/>
      <c r="J12" s="111">
        <f>+'[5]Highlights (pg 1)'!$F$12</f>
        <v>16708714</v>
      </c>
    </row>
    <row r="13" spans="1:10" ht="19.5" customHeight="1">
      <c r="A13" s="94"/>
      <c r="B13" s="111"/>
      <c r="C13" s="111"/>
      <c r="D13" s="111"/>
      <c r="E13" s="111"/>
      <c r="F13" s="354"/>
      <c r="G13" s="111"/>
      <c r="H13" s="111"/>
      <c r="I13" s="14"/>
      <c r="J13" s="111"/>
    </row>
    <row r="14" spans="1:10" ht="19.5" customHeight="1">
      <c r="A14" s="94" t="s">
        <v>377</v>
      </c>
      <c r="B14" s="111">
        <f>+'[1]TB03-31-04(Final)'!E462</f>
        <v>4105799.4900000007</v>
      </c>
      <c r="C14" s="111"/>
      <c r="D14" s="111">
        <f>+'[5]Highlights (pg 1)'!$B$14</f>
        <v>2779701.7999999993</v>
      </c>
      <c r="E14" s="111"/>
      <c r="F14" s="355">
        <f>(+B14-D14)/D14</f>
        <v>0.477064730468571</v>
      </c>
      <c r="G14" s="111"/>
      <c r="H14" s="111">
        <f>+'[1]TB03-31-04(Final)'!G462</f>
        <v>4105799.4900000007</v>
      </c>
      <c r="I14" s="111"/>
      <c r="J14" s="111">
        <f>+'[5]Highlights (pg 1)'!$F$14</f>
        <v>14011900.985</v>
      </c>
    </row>
    <row r="15" spans="1:10" ht="19.5" customHeight="1">
      <c r="A15" s="94"/>
      <c r="B15" s="111"/>
      <c r="C15" s="111"/>
      <c r="D15" s="111"/>
      <c r="E15" s="111"/>
      <c r="F15" s="354"/>
      <c r="G15" s="111"/>
      <c r="H15" s="111"/>
      <c r="I15" s="14"/>
      <c r="J15" s="111"/>
    </row>
    <row r="16" spans="1:10" ht="19.5" customHeight="1">
      <c r="A16" s="94" t="s">
        <v>378</v>
      </c>
      <c r="B16" s="111">
        <f>+'[1]TB03-31-04(Final)'!E578</f>
        <v>474152.5300000001</v>
      </c>
      <c r="C16" s="111"/>
      <c r="D16" s="111">
        <f>+'[5]Highlights (pg 1)'!$B$16</f>
        <v>359851.97759499995</v>
      </c>
      <c r="E16" s="111"/>
      <c r="F16" s="355">
        <f>(+B16-D16)/D16</f>
        <v>0.3176321363270127</v>
      </c>
      <c r="G16" s="111"/>
      <c r="H16" s="111">
        <f>+'[1]TB03-31-04(Final)'!G578</f>
        <v>474152.5300000001</v>
      </c>
      <c r="I16" s="111"/>
      <c r="J16" s="111">
        <f>+'[5]Highlights (pg 1)'!$F$16</f>
        <v>1458256.25543</v>
      </c>
    </row>
    <row r="17" spans="1:10" ht="19.5" customHeight="1">
      <c r="A17" s="94"/>
      <c r="B17" s="111"/>
      <c r="C17" s="111"/>
      <c r="D17" s="111"/>
      <c r="E17" s="111"/>
      <c r="F17" s="354"/>
      <c r="G17" s="111"/>
      <c r="H17" s="111"/>
      <c r="I17" s="14"/>
      <c r="J17" s="111"/>
    </row>
    <row r="18" spans="1:10" ht="19.5" customHeight="1">
      <c r="A18" s="94" t="s">
        <v>379</v>
      </c>
      <c r="B18" s="111">
        <f>+'[1]TB03-31-04(Final)'!E648+'[1]TB03-31-04(Final)'!E1005</f>
        <v>1100075.5799999996</v>
      </c>
      <c r="C18" s="111"/>
      <c r="D18" s="111">
        <f>+'[5]Highlights (pg 1)'!$B$18</f>
        <v>1236377.2000000002</v>
      </c>
      <c r="E18" s="111"/>
      <c r="F18" s="355">
        <f>(+B18-D18)/D18</f>
        <v>-0.11024274792514821</v>
      </c>
      <c r="G18" s="111"/>
      <c r="H18" s="111">
        <f>+'[1]TB03-31-04(Final)'!G648+'[1]TB03-31-04(Final)'!G1005</f>
        <v>1628632.9299999997</v>
      </c>
      <c r="I18" s="111"/>
      <c r="J18" s="111">
        <f>+'[5]Highlights (pg 1)'!$F$18</f>
        <v>5361056.619999999</v>
      </c>
    </row>
    <row r="19" spans="1:10" ht="19.5" customHeight="1">
      <c r="A19" s="94"/>
      <c r="B19" s="111"/>
      <c r="C19" s="111"/>
      <c r="D19" s="111"/>
      <c r="E19" s="111"/>
      <c r="F19" s="354"/>
      <c r="G19" s="111"/>
      <c r="H19" s="111"/>
      <c r="I19" s="14"/>
      <c r="J19" s="111"/>
    </row>
    <row r="20" spans="1:10" ht="19.5" customHeight="1">
      <c r="A20" s="94" t="s">
        <v>82</v>
      </c>
      <c r="B20" s="111">
        <f>B12-B14-B16-B18</f>
        <v>-303911.6000000003</v>
      </c>
      <c r="C20" s="111"/>
      <c r="D20" s="111">
        <f>D12-D14-D16-D18</f>
        <v>-242531.97759499948</v>
      </c>
      <c r="E20" s="111"/>
      <c r="F20" s="355">
        <f>(+B20-D20)/D20</f>
        <v>0.2530784724293048</v>
      </c>
      <c r="G20" s="111"/>
      <c r="H20" s="111">
        <f>H12-H14-H16-H18</f>
        <v>-832468.9500000004</v>
      </c>
      <c r="I20" s="14"/>
      <c r="J20" s="111">
        <f>J12-J14-J16-J18</f>
        <v>-4122499.8604299985</v>
      </c>
    </row>
    <row r="21" spans="1:10" ht="19.5" customHeight="1">
      <c r="A21" s="94"/>
      <c r="B21" s="111"/>
      <c r="C21" s="111"/>
      <c r="D21" s="111"/>
      <c r="E21" s="111"/>
      <c r="F21" s="354"/>
      <c r="G21" s="111"/>
      <c r="H21" s="111"/>
      <c r="I21" s="14"/>
      <c r="J21" s="111"/>
    </row>
    <row r="22" spans="1:10" ht="19.5" customHeight="1">
      <c r="A22" s="94" t="s">
        <v>380</v>
      </c>
      <c r="B22" s="111">
        <f>-'[1]TB03-31-04(Final)'!E357</f>
        <v>29500.729999999996</v>
      </c>
      <c r="C22" s="111"/>
      <c r="D22" s="130">
        <f>+'[5]Highlights (pg 1)'!$B$22</f>
        <v>51020.619999999995</v>
      </c>
      <c r="E22" s="111"/>
      <c r="F22" s="355">
        <f>(+B22-D22)/D22</f>
        <v>-0.421788092735839</v>
      </c>
      <c r="G22" s="111"/>
      <c r="H22" s="111">
        <f>-'[1]TB03-31-04(Final)'!G357</f>
        <v>29500.729999999996</v>
      </c>
      <c r="I22" s="111"/>
      <c r="J22" s="111">
        <f>+'[5]Highlights (pg 1)'!$F$22</f>
        <v>406576.29999999993</v>
      </c>
    </row>
    <row r="23" spans="1:10" ht="19.5" customHeight="1">
      <c r="A23" s="94"/>
      <c r="B23" s="111"/>
      <c r="C23" s="111"/>
      <c r="D23" s="111"/>
      <c r="E23" s="111"/>
      <c r="F23" s="354"/>
      <c r="G23" s="111"/>
      <c r="H23" s="111"/>
      <c r="I23" s="14"/>
      <c r="J23" s="111"/>
    </row>
    <row r="24" spans="1:10" ht="19.5" customHeight="1">
      <c r="A24" s="94" t="s">
        <v>436</v>
      </c>
      <c r="B24" s="130">
        <f>B20+B22</f>
        <v>-274410.87000000034</v>
      </c>
      <c r="C24" s="130"/>
      <c r="D24" s="130">
        <f>D20+D22-1</f>
        <v>-191512.35759499948</v>
      </c>
      <c r="E24" s="130"/>
      <c r="F24" s="354">
        <f>(+B24-D24)/D24</f>
        <v>0.4328624713623461</v>
      </c>
      <c r="G24" s="130"/>
      <c r="H24" s="130">
        <f>H20+H22</f>
        <v>-802968.2200000004</v>
      </c>
      <c r="I24" s="14"/>
      <c r="J24" s="130">
        <f>J20+J22</f>
        <v>-3715923.5604299987</v>
      </c>
    </row>
    <row r="25" spans="1:10" ht="19.5" customHeight="1">
      <c r="A25" s="94"/>
      <c r="B25" s="111"/>
      <c r="C25" s="111"/>
      <c r="D25" s="111"/>
      <c r="E25" s="111"/>
      <c r="F25" s="111"/>
      <c r="G25" s="111"/>
      <c r="H25" s="111"/>
      <c r="I25" s="14"/>
      <c r="J25" s="14"/>
    </row>
    <row r="26" spans="1:10" ht="19.5" customHeight="1">
      <c r="A26" s="94"/>
      <c r="B26" s="111"/>
      <c r="C26" s="111"/>
      <c r="D26" s="111"/>
      <c r="E26" s="111"/>
      <c r="F26" s="111"/>
      <c r="G26" s="111"/>
      <c r="H26" s="111"/>
      <c r="I26" s="14"/>
      <c r="J26" s="14"/>
    </row>
    <row r="27" spans="1:10" ht="19.5" customHeight="1">
      <c r="A27" s="94"/>
      <c r="B27" s="111"/>
      <c r="C27" s="111"/>
      <c r="D27" s="111"/>
      <c r="E27" s="111"/>
      <c r="F27" s="111"/>
      <c r="G27" s="111"/>
      <c r="H27" s="111"/>
      <c r="I27" s="14"/>
      <c r="J27" s="14"/>
    </row>
    <row r="28" spans="1:10" ht="19.5" customHeight="1">
      <c r="A28" s="94"/>
      <c r="B28" s="111"/>
      <c r="C28" s="111"/>
      <c r="D28" s="111"/>
      <c r="E28" s="111"/>
      <c r="F28" s="111"/>
      <c r="G28" s="111"/>
      <c r="H28" s="111"/>
      <c r="I28" s="14"/>
      <c r="J28" s="14"/>
    </row>
    <row r="29" spans="1:10" ht="19.5" customHeight="1">
      <c r="A29" s="94" t="s">
        <v>381</v>
      </c>
      <c r="B29" s="131">
        <f>(B14+B16)/B12</f>
        <v>0.8519072170317754</v>
      </c>
      <c r="C29" s="133"/>
      <c r="D29" s="131">
        <f>(D14+D16)/D12</f>
        <v>0.7595573951595284</v>
      </c>
      <c r="E29" s="133"/>
      <c r="F29" s="133"/>
      <c r="G29" s="133"/>
      <c r="H29" s="131">
        <f>(H14+H16)/H12</f>
        <v>0.8519072170317754</v>
      </c>
      <c r="I29" s="131"/>
      <c r="J29" s="131">
        <f>(J14+J16)/J12</f>
        <v>0.9258736034640368</v>
      </c>
    </row>
    <row r="30" spans="1:10" ht="19.5" customHeight="1">
      <c r="A30" s="94"/>
      <c r="B30" s="132"/>
      <c r="C30" s="133"/>
      <c r="D30" s="132"/>
      <c r="E30" s="133"/>
      <c r="F30" s="133"/>
      <c r="G30" s="133"/>
      <c r="H30" s="132"/>
      <c r="I30" s="132"/>
      <c r="J30" s="132"/>
    </row>
    <row r="31" spans="1:10" ht="19.5" customHeight="1">
      <c r="A31" s="94" t="s">
        <v>382</v>
      </c>
      <c r="B31" s="131">
        <f>B18/B10</f>
        <v>0.19380350238767122</v>
      </c>
      <c r="C31" s="133"/>
      <c r="D31" s="131">
        <f>D18/D10</f>
        <v>0.2888177758425312</v>
      </c>
      <c r="E31" s="133"/>
      <c r="F31" s="133"/>
      <c r="G31" s="133"/>
      <c r="H31" s="131">
        <f>H18/H10</f>
        <v>0.2869209822273257</v>
      </c>
      <c r="I31" s="131"/>
      <c r="J31" s="131">
        <f>J18/J10</f>
        <v>0.3311201216503084</v>
      </c>
    </row>
    <row r="32" spans="1:10" ht="19.5" customHeight="1">
      <c r="A32" s="94"/>
      <c r="B32" s="132"/>
      <c r="C32" s="133"/>
      <c r="D32" s="132"/>
      <c r="E32" s="133"/>
      <c r="F32" s="133"/>
      <c r="G32" s="133"/>
      <c r="H32" s="132"/>
      <c r="I32" s="132"/>
      <c r="J32" s="132"/>
    </row>
    <row r="33" spans="1:10" ht="19.5" customHeight="1">
      <c r="A33" s="94" t="s">
        <v>383</v>
      </c>
      <c r="B33" s="245">
        <f>SUM(B29:B32)</f>
        <v>1.0457107194194466</v>
      </c>
      <c r="C33" s="245"/>
      <c r="D33" s="245">
        <f>SUM(D29:D31)</f>
        <v>1.0483751710020597</v>
      </c>
      <c r="E33" s="245"/>
      <c r="F33" s="245"/>
      <c r="G33" s="245"/>
      <c r="H33" s="245">
        <f>SUM(H29:H32)</f>
        <v>1.1388281992591012</v>
      </c>
      <c r="I33" s="245"/>
      <c r="J33" s="245">
        <f>SUM(J29:J31)</f>
        <v>1.2569937251143453</v>
      </c>
    </row>
    <row r="34" spans="1:4" ht="19.5" customHeight="1">
      <c r="A34" s="14"/>
      <c r="B34" s="246"/>
      <c r="C34" s="23"/>
      <c r="D34" s="14"/>
    </row>
    <row r="35" spans="1:4" ht="19.5" customHeight="1">
      <c r="A35" s="14"/>
      <c r="B35" s="246"/>
      <c r="C35" s="23"/>
      <c r="D35" s="14"/>
    </row>
    <row r="36" spans="1:4" ht="19.5" customHeight="1">
      <c r="A36" s="14"/>
      <c r="B36" s="246"/>
      <c r="C36" s="22"/>
      <c r="D36" s="14"/>
    </row>
    <row r="37" spans="1:4" ht="19.5" customHeight="1">
      <c r="A37" s="14"/>
      <c r="B37" s="246"/>
      <c r="C37" s="22"/>
      <c r="D37" s="14"/>
    </row>
    <row r="38" spans="1:4" ht="19.5" customHeight="1">
      <c r="A38" s="14"/>
      <c r="B38" s="246"/>
      <c r="C38" s="22"/>
      <c r="D38" s="14"/>
    </row>
    <row r="39" ht="19.5" customHeight="1">
      <c r="C39" s="90"/>
    </row>
    <row r="40" ht="19.5" customHeight="1">
      <c r="A40" s="134"/>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60"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82" t="s">
        <v>77</v>
      </c>
      <c r="C1" s="983"/>
      <c r="D1" s="983"/>
      <c r="E1" s="983"/>
      <c r="F1" s="983"/>
      <c r="G1" s="983"/>
      <c r="H1" s="983"/>
      <c r="I1" s="984"/>
    </row>
    <row r="2" spans="2:9" s="11" customFormat="1" ht="19.5">
      <c r="B2" s="991"/>
      <c r="C2" s="992"/>
      <c r="D2" s="992"/>
      <c r="E2" s="992"/>
      <c r="F2" s="992"/>
      <c r="G2" s="583"/>
      <c r="H2" s="584"/>
      <c r="I2" s="585"/>
    </row>
    <row r="3" spans="2:9" s="12" customFormat="1" ht="16.5">
      <c r="B3" s="985" t="s">
        <v>32</v>
      </c>
      <c r="C3" s="986"/>
      <c r="D3" s="986"/>
      <c r="E3" s="986"/>
      <c r="F3" s="986"/>
      <c r="G3" s="986"/>
      <c r="H3" s="986"/>
      <c r="I3" s="987"/>
    </row>
    <row r="4" spans="2:9" s="12" customFormat="1" ht="16.5">
      <c r="B4" s="988" t="s">
        <v>442</v>
      </c>
      <c r="C4" s="989"/>
      <c r="D4" s="989"/>
      <c r="E4" s="989"/>
      <c r="F4" s="989"/>
      <c r="G4" s="989"/>
      <c r="H4" s="989"/>
      <c r="I4" s="990"/>
    </row>
    <row r="5" spans="2:9" ht="15">
      <c r="B5" s="586"/>
      <c r="C5" s="611"/>
      <c r="D5" s="611"/>
      <c r="E5" s="980" t="s">
        <v>426</v>
      </c>
      <c r="F5" s="980"/>
      <c r="G5" s="610"/>
      <c r="H5" s="980" t="s">
        <v>427</v>
      </c>
      <c r="I5" s="981"/>
    </row>
    <row r="6" spans="2:9" ht="43.5">
      <c r="B6" s="586"/>
      <c r="C6" s="587" t="s">
        <v>33</v>
      </c>
      <c r="D6" s="587" t="s">
        <v>34</v>
      </c>
      <c r="E6" s="587" t="s">
        <v>35</v>
      </c>
      <c r="F6" s="587" t="s">
        <v>36</v>
      </c>
      <c r="G6" s="588"/>
      <c r="H6" s="587" t="s">
        <v>35</v>
      </c>
      <c r="I6" s="609" t="s">
        <v>36</v>
      </c>
    </row>
    <row r="7" spans="1:9" ht="15">
      <c r="A7" s="14" t="s">
        <v>250</v>
      </c>
      <c r="B7" s="589" t="s">
        <v>79</v>
      </c>
      <c r="C7" s="455"/>
      <c r="D7" s="455"/>
      <c r="E7" s="455"/>
      <c r="F7" s="455"/>
      <c r="G7" s="588"/>
      <c r="H7" s="574"/>
      <c r="I7" s="574"/>
    </row>
    <row r="8" spans="1:9" ht="15">
      <c r="A8" s="14">
        <v>5</v>
      </c>
      <c r="B8" s="590" t="s">
        <v>37</v>
      </c>
      <c r="C8" s="456"/>
      <c r="D8" s="456"/>
      <c r="E8" s="456"/>
      <c r="F8" s="456"/>
      <c r="G8" s="591"/>
      <c r="H8" s="575"/>
      <c r="I8" s="575"/>
    </row>
    <row r="9" spans="2:9" ht="15">
      <c r="B9" s="590" t="s">
        <v>38</v>
      </c>
      <c r="C9" s="456">
        <f>+'[1]TB03-31-04(Final)'!G16+'[1]TB03-31-04(Final)'!G23</f>
        <v>9850900.019999998</v>
      </c>
      <c r="D9" s="463">
        <v>0</v>
      </c>
      <c r="E9" s="463">
        <v>0</v>
      </c>
      <c r="F9" s="456">
        <f>SUM(C9:E9)</f>
        <v>9850900.019999998</v>
      </c>
      <c r="G9" s="591"/>
      <c r="H9" s="575"/>
      <c r="I9" s="576">
        <f>+'[7]Balance Sheet (pg 1)'!$E$9</f>
        <v>9779587.32</v>
      </c>
    </row>
    <row r="10" spans="1:9" ht="15">
      <c r="A10" s="14">
        <v>11</v>
      </c>
      <c r="B10" s="590" t="s">
        <v>433</v>
      </c>
      <c r="C10" s="464">
        <v>0</v>
      </c>
      <c r="D10" s="464">
        <f>+'[1]TB03-31-04(Final)'!G25</f>
        <v>10038.47</v>
      </c>
      <c r="E10" s="464">
        <v>0</v>
      </c>
      <c r="F10" s="464">
        <f>SUM(C10:E10)</f>
        <v>10038.47</v>
      </c>
      <c r="G10" s="591"/>
      <c r="H10" s="575"/>
      <c r="I10" s="577">
        <f>+'[7]Balance Sheet (pg 1)'!$E$10</f>
        <v>9035.63</v>
      </c>
    </row>
    <row r="11" spans="1:9" ht="14.25" customHeight="1">
      <c r="A11" s="14">
        <v>18</v>
      </c>
      <c r="B11" s="590" t="s">
        <v>81</v>
      </c>
      <c r="C11" s="464">
        <f>+'[1]TB03-31-04(Final)'!E1029</f>
        <v>172930.65000000002</v>
      </c>
      <c r="D11" s="464">
        <v>0</v>
      </c>
      <c r="E11" s="464">
        <f>C11</f>
        <v>172930.65000000002</v>
      </c>
      <c r="F11" s="464">
        <f>+C11-E11</f>
        <v>0</v>
      </c>
      <c r="G11" s="591"/>
      <c r="H11" s="577">
        <f>+'[7]Balance Sheet (pg 1)'!$D$11</f>
        <v>240717.92</v>
      </c>
      <c r="I11" s="578">
        <f>+'[7]Balance Sheet (pg 1)'!$E$11</f>
        <v>0</v>
      </c>
    </row>
    <row r="12" spans="1:9" ht="14.25" customHeight="1">
      <c r="A12" s="14">
        <v>17</v>
      </c>
      <c r="B12" s="590" t="s">
        <v>83</v>
      </c>
      <c r="C12" s="464">
        <f>+'[1]TB03-31-04(Final)'!G1033</f>
        <v>52339.42</v>
      </c>
      <c r="D12" s="464">
        <v>0</v>
      </c>
      <c r="E12" s="464">
        <v>0</v>
      </c>
      <c r="F12" s="464">
        <f>+C12-E12</f>
        <v>52339.42</v>
      </c>
      <c r="G12" s="591"/>
      <c r="H12" s="575"/>
      <c r="I12" s="578">
        <f>+'[7]Balance Sheet (pg 1)'!$E$12</f>
        <v>20473.260000000002</v>
      </c>
    </row>
    <row r="13" spans="1:9" ht="15.75" customHeight="1">
      <c r="A13" s="14">
        <v>18</v>
      </c>
      <c r="B13" s="590" t="s">
        <v>84</v>
      </c>
      <c r="C13" s="464">
        <f>+'[1]TB03-31-04(Final)'!E1038</f>
        <v>46955.560000000005</v>
      </c>
      <c r="D13" s="464">
        <v>0</v>
      </c>
      <c r="E13" s="464">
        <f>C13</f>
        <v>46955.560000000005</v>
      </c>
      <c r="F13" s="464">
        <f>+C13-E13</f>
        <v>0</v>
      </c>
      <c r="G13" s="591"/>
      <c r="H13" s="577">
        <f>+'[7]Balance Sheet (pg 1)'!$D$13</f>
        <v>58331.310000000005</v>
      </c>
      <c r="I13" s="578">
        <f>+'[7]Balance Sheet (pg 1)'!$E$13</f>
        <v>0</v>
      </c>
    </row>
    <row r="14" spans="1:9" ht="15">
      <c r="A14" s="14">
        <v>23</v>
      </c>
      <c r="B14" s="592" t="s">
        <v>444</v>
      </c>
      <c r="C14" s="464">
        <v>0</v>
      </c>
      <c r="D14" s="464">
        <v>0</v>
      </c>
      <c r="E14" s="464">
        <v>0</v>
      </c>
      <c r="F14" s="464">
        <f>+C14-E14</f>
        <v>0</v>
      </c>
      <c r="G14" s="591"/>
      <c r="H14" s="581">
        <f>+'[7]Balance Sheet (pg 1)'!$D$16</f>
        <v>335155</v>
      </c>
      <c r="I14" s="578">
        <f>+'[7]Balance Sheet (pg 1)'!$E$16</f>
        <v>0</v>
      </c>
    </row>
    <row r="15" spans="1:9" ht="15">
      <c r="A15" s="14">
        <v>23</v>
      </c>
      <c r="B15" s="593" t="s">
        <v>445</v>
      </c>
      <c r="C15" s="582">
        <v>0</v>
      </c>
      <c r="D15" s="582">
        <v>0</v>
      </c>
      <c r="E15" s="582">
        <f>C15</f>
        <v>0</v>
      </c>
      <c r="F15" s="582">
        <f>+C15-E15</f>
        <v>0</v>
      </c>
      <c r="G15" s="594"/>
      <c r="H15" s="581">
        <v>42501</v>
      </c>
      <c r="I15" s="580">
        <f>+'[7]Balance Sheet (pg 1)'!$E$14</f>
        <v>0</v>
      </c>
    </row>
    <row r="16" spans="1:9" ht="15">
      <c r="A16" s="14">
        <v>23</v>
      </c>
      <c r="B16" s="592" t="s">
        <v>446</v>
      </c>
      <c r="C16" s="465" t="e">
        <f>+'[1]TB03-31-04(Final)'!F1025</f>
        <v>#REF!</v>
      </c>
      <c r="D16" s="464">
        <v>0</v>
      </c>
      <c r="E16" s="464">
        <v>0</v>
      </c>
      <c r="F16" s="464" t="e">
        <f>+C16-D16-E16</f>
        <v>#REF!</v>
      </c>
      <c r="G16" s="591"/>
      <c r="H16" s="581">
        <f>+'[7]Balance Sheet (pg 1)'!$D$17</f>
        <v>4979.98</v>
      </c>
      <c r="I16" s="578">
        <f>+'[7]Balance Sheet (pg 1)'!$E$17</f>
        <v>0</v>
      </c>
    </row>
    <row r="17" spans="2:9" ht="15">
      <c r="B17" s="595" t="s">
        <v>85</v>
      </c>
      <c r="C17" s="457" t="e">
        <f>SUM(C9:C16)</f>
        <v>#REF!</v>
      </c>
      <c r="D17" s="457">
        <f>SUM(D9:D16)</f>
        <v>10038.47</v>
      </c>
      <c r="E17" s="457">
        <f>SUM(E9:E16)</f>
        <v>219886.21000000002</v>
      </c>
      <c r="F17" s="457" t="e">
        <f>SUM(F9:F16)</f>
        <v>#REF!</v>
      </c>
      <c r="G17" s="591"/>
      <c r="H17" s="457">
        <f>SUM(H7:H16)</f>
        <v>681685.21</v>
      </c>
      <c r="I17" s="457">
        <f>SUM(I9:I16)</f>
        <v>9809096.21</v>
      </c>
    </row>
    <row r="18" spans="2:9" ht="15">
      <c r="B18" s="596"/>
      <c r="C18" s="458"/>
      <c r="D18" s="458"/>
      <c r="E18" s="458"/>
      <c r="F18" s="458"/>
      <c r="G18" s="591"/>
      <c r="H18" s="597"/>
      <c r="I18" s="598"/>
    </row>
    <row r="19" spans="1:9" ht="15">
      <c r="A19" s="648" t="s">
        <v>249</v>
      </c>
      <c r="B19" s="599" t="s">
        <v>86</v>
      </c>
      <c r="C19" s="458"/>
      <c r="D19" s="458"/>
      <c r="E19" s="458"/>
      <c r="F19" s="458"/>
      <c r="G19" s="591"/>
      <c r="H19" s="21"/>
      <c r="I19" s="598"/>
    </row>
    <row r="20" spans="1:9" ht="15">
      <c r="A20" s="14">
        <v>1</v>
      </c>
      <c r="B20" s="600" t="s">
        <v>429</v>
      </c>
      <c r="C20" s="458"/>
      <c r="D20" s="459"/>
      <c r="E20" s="467">
        <f>-'[1]TB3-31-04 (Pre)'!F199</f>
        <v>47682</v>
      </c>
      <c r="F20" s="459"/>
      <c r="G20" s="591"/>
      <c r="H20" s="336">
        <f>+'[7]Balance Sheet (pg 1)'!$D$26</f>
        <v>91297.81</v>
      </c>
      <c r="I20" s="598"/>
    </row>
    <row r="21" spans="1:9" ht="15">
      <c r="A21" s="14">
        <v>3</v>
      </c>
      <c r="B21" s="600" t="s">
        <v>430</v>
      </c>
      <c r="C21" s="458"/>
      <c r="D21" s="459"/>
      <c r="E21" s="467">
        <f>-'[1]TB3-31-04 (Pre)'!F198</f>
        <v>6748.45</v>
      </c>
      <c r="F21" s="468"/>
      <c r="G21" s="591"/>
      <c r="H21" s="336"/>
      <c r="I21" s="598"/>
    </row>
    <row r="22" spans="1:9" ht="15">
      <c r="A22" s="14">
        <v>4</v>
      </c>
      <c r="B22" s="600" t="s">
        <v>431</v>
      </c>
      <c r="C22" s="458"/>
      <c r="D22" s="520"/>
      <c r="E22" s="467">
        <f>-'[1]TB03-31-04(Final)'!G272</f>
        <v>263743.5</v>
      </c>
      <c r="F22" s="458"/>
      <c r="G22" s="591"/>
      <c r="H22" s="336">
        <f>+'[7]Balance Sheet (pg 1)'!$D$25</f>
        <v>113994.26000000001</v>
      </c>
      <c r="I22" s="598"/>
    </row>
    <row r="23" spans="1:9" ht="15">
      <c r="A23" s="14">
        <v>5</v>
      </c>
      <c r="B23" s="600" t="s">
        <v>395</v>
      </c>
      <c r="C23" s="458"/>
      <c r="D23" s="520"/>
      <c r="E23" s="467">
        <f>-'[1]TB03-31-04(Final)'!G207</f>
        <v>20527.9</v>
      </c>
      <c r="F23" s="458"/>
      <c r="G23" s="591"/>
      <c r="H23" s="126">
        <f>-'[6]TB09-30-02(Final)'!$F$195</f>
        <v>37678.14</v>
      </c>
      <c r="I23" s="598"/>
    </row>
    <row r="24" spans="1:9" ht="15" customHeight="1">
      <c r="A24" s="14">
        <v>6</v>
      </c>
      <c r="B24" s="600" t="s">
        <v>432</v>
      </c>
      <c r="C24" s="458"/>
      <c r="D24" s="458"/>
      <c r="E24" s="467">
        <f>-'[1]TB03-31-04(Final)'!G199</f>
        <v>50113.97</v>
      </c>
      <c r="F24" s="458"/>
      <c r="G24" s="591"/>
      <c r="H24" s="336">
        <f>+'[7]Balance Sheet (pg 1)'!$D$37</f>
        <v>34740</v>
      </c>
      <c r="I24" s="598"/>
    </row>
    <row r="25" spans="1:9" ht="15">
      <c r="A25" s="14">
        <v>10</v>
      </c>
      <c r="B25" s="600" t="s">
        <v>310</v>
      </c>
      <c r="C25" s="458"/>
      <c r="D25" s="459"/>
      <c r="E25" s="467">
        <f>-'[1]TB03-31-04(Final)'!G267</f>
        <v>446013</v>
      </c>
      <c r="F25" s="458"/>
      <c r="G25" s="591"/>
      <c r="H25" s="336">
        <f>+'[7]Balance Sheet (pg 1)'!$D$24</f>
        <v>364716</v>
      </c>
      <c r="I25" s="598"/>
    </row>
    <row r="26" spans="1:9" ht="15">
      <c r="A26" s="14">
        <v>14</v>
      </c>
      <c r="B26" s="600" t="s">
        <v>447</v>
      </c>
      <c r="C26" s="458"/>
      <c r="D26" s="459"/>
      <c r="E26" s="467">
        <f>-'[1]TB03-31-04(Final)'!G256</f>
        <v>294617.31</v>
      </c>
      <c r="F26" s="458"/>
      <c r="G26" s="591"/>
      <c r="H26" s="336">
        <f>+'[7]Balance Sheet (pg 1)'!$D$23</f>
        <v>965550.22</v>
      </c>
      <c r="I26" s="598"/>
    </row>
    <row r="27" spans="1:9" ht="15">
      <c r="A27" s="14">
        <v>27</v>
      </c>
      <c r="B27" s="600" t="s">
        <v>264</v>
      </c>
      <c r="C27" s="458"/>
      <c r="D27" s="459"/>
      <c r="E27" s="467">
        <f>-'[1]TB03-31-04(Final)'!G258</f>
        <v>1290906</v>
      </c>
      <c r="F27" s="458"/>
      <c r="G27" s="591"/>
      <c r="H27" s="336">
        <f>+'[7]Balance Sheet (pg 1)'!$D$22</f>
        <v>618846.84</v>
      </c>
      <c r="I27" s="598"/>
    </row>
    <row r="28" spans="1:9" ht="15">
      <c r="A28" s="14">
        <v>27</v>
      </c>
      <c r="B28" s="600" t="s">
        <v>265</v>
      </c>
      <c r="C28" s="458"/>
      <c r="D28" s="459"/>
      <c r="E28" s="466">
        <f>-'[1]TB03-31-04(Final)'!G260</f>
        <v>505030.11</v>
      </c>
      <c r="F28" s="458"/>
      <c r="G28" s="591"/>
      <c r="H28" s="336">
        <v>0</v>
      </c>
      <c r="I28" s="598"/>
    </row>
    <row r="29" spans="2:9" ht="15">
      <c r="B29" s="600"/>
      <c r="C29" s="601"/>
      <c r="D29" s="458"/>
      <c r="E29" s="458"/>
      <c r="F29" s="467"/>
      <c r="G29" s="591"/>
      <c r="H29" s="336"/>
      <c r="I29" s="598"/>
    </row>
    <row r="30" spans="2:9" ht="15">
      <c r="B30" s="603" t="s">
        <v>448</v>
      </c>
      <c r="C30" s="458"/>
      <c r="D30" s="458"/>
      <c r="E30" s="458"/>
      <c r="F30" s="468">
        <f>SUM(E20:E28)</f>
        <v>2925382.2399999998</v>
      </c>
      <c r="G30" s="591"/>
      <c r="H30" s="336"/>
      <c r="I30" s="602">
        <f>SUM(H25:H28)</f>
        <v>1949113.06</v>
      </c>
    </row>
    <row r="31" spans="2:9" ht="15">
      <c r="B31" s="596"/>
      <c r="C31" s="458"/>
      <c r="D31" s="458"/>
      <c r="E31" s="458"/>
      <c r="F31" s="458"/>
      <c r="G31" s="591"/>
      <c r="H31" s="336"/>
      <c r="I31" s="598"/>
    </row>
    <row r="32" spans="1:9" ht="15">
      <c r="A32" s="14">
        <v>23</v>
      </c>
      <c r="B32" s="599" t="s">
        <v>89</v>
      </c>
      <c r="C32" s="458"/>
      <c r="D32" s="458"/>
      <c r="E32" s="458"/>
      <c r="F32" s="458"/>
      <c r="G32" s="591"/>
      <c r="H32" s="336"/>
      <c r="I32" s="598"/>
    </row>
    <row r="33" spans="1:9" ht="15">
      <c r="A33" s="14">
        <v>9</v>
      </c>
      <c r="B33" s="600" t="s">
        <v>90</v>
      </c>
      <c r="C33" s="458"/>
      <c r="D33" s="459"/>
      <c r="E33" s="467">
        <f>-'[1]TB03-31-04(Final)'!G65</f>
        <v>11049613</v>
      </c>
      <c r="F33" s="458"/>
      <c r="G33" s="591"/>
      <c r="H33" s="336">
        <f>+'[7]Balance Sheet (pg 1)'!$D$31</f>
        <v>8776992</v>
      </c>
      <c r="I33" s="598"/>
    </row>
    <row r="34" spans="1:9" ht="15">
      <c r="A34" s="14">
        <v>114</v>
      </c>
      <c r="B34" s="600" t="s">
        <v>449</v>
      </c>
      <c r="C34" s="458"/>
      <c r="D34" s="459"/>
      <c r="E34" s="467">
        <f>-'[1]TB03-31-04(Final)'!G104</f>
        <v>6198399.7700000005</v>
      </c>
      <c r="F34" s="458"/>
      <c r="G34" s="591"/>
      <c r="H34" s="336">
        <f>+'[7]Balance Sheet (pg 1)'!$D$32</f>
        <v>5068927.600000001</v>
      </c>
      <c r="I34" s="598"/>
    </row>
    <row r="35" spans="1:9" ht="15">
      <c r="A35" s="14">
        <v>114</v>
      </c>
      <c r="B35" s="600" t="s">
        <v>450</v>
      </c>
      <c r="C35" s="458"/>
      <c r="D35" s="459"/>
      <c r="E35" s="467">
        <f>-'[1]TB03-31-04(Final)'!G121</f>
        <v>1364184.0999999999</v>
      </c>
      <c r="F35" s="458"/>
      <c r="G35" s="591"/>
      <c r="H35" s="336">
        <f>+'[7]Balance Sheet (pg 1)'!$D$33</f>
        <v>1302472.2</v>
      </c>
      <c r="I35" s="598"/>
    </row>
    <row r="36" spans="1:9" ht="15">
      <c r="A36" s="14">
        <v>114</v>
      </c>
      <c r="B36" s="600" t="s">
        <v>451</v>
      </c>
      <c r="C36" s="458"/>
      <c r="D36" s="459"/>
      <c r="E36" s="467">
        <f>-'[1]TB03-31-04(Final)'!G159</f>
        <v>524501</v>
      </c>
      <c r="F36" s="458"/>
      <c r="G36" s="591"/>
      <c r="H36" s="336">
        <f>+'[7]Balance Sheet (pg 1)'!$D$34</f>
        <v>394965.17999999993</v>
      </c>
      <c r="I36" s="598"/>
    </row>
    <row r="37" spans="1:9" ht="15">
      <c r="A37" s="14">
        <v>114</v>
      </c>
      <c r="B37" s="600" t="s">
        <v>452</v>
      </c>
      <c r="C37" s="459"/>
      <c r="D37" s="459"/>
      <c r="E37" s="467">
        <f>-'[1]TB03-31-04(Final)'!G193</f>
        <v>226567.97999999998</v>
      </c>
      <c r="F37" s="458"/>
      <c r="G37" s="591"/>
      <c r="H37" s="336">
        <f>+'[7]Balance Sheet (pg 1)'!$D$35</f>
        <v>127127.4</v>
      </c>
      <c r="I37" s="598"/>
    </row>
    <row r="38" spans="1:9" ht="15">
      <c r="A38" s="14">
        <v>5</v>
      </c>
      <c r="B38" s="600" t="s">
        <v>248</v>
      </c>
      <c r="C38" s="458"/>
      <c r="D38" s="459"/>
      <c r="E38" s="494">
        <f>-'[1]TB03-31-04(Final)'!G217</f>
        <v>330321.9</v>
      </c>
      <c r="F38" s="458"/>
      <c r="G38" s="591"/>
      <c r="H38" s="579">
        <f>+'[7]Balance Sheet (pg 1)'!$D$36-H27</f>
        <v>-293990.12999999995</v>
      </c>
      <c r="I38" s="598"/>
    </row>
    <row r="39" spans="2:9" ht="15" customHeight="1">
      <c r="B39" s="600"/>
      <c r="C39" s="458"/>
      <c r="D39" s="458"/>
      <c r="E39" s="467"/>
      <c r="F39" s="458"/>
      <c r="G39" s="591"/>
      <c r="H39" s="336"/>
      <c r="I39" s="598"/>
    </row>
    <row r="40" spans="2:9" ht="15" customHeight="1">
      <c r="B40" s="603" t="s">
        <v>207</v>
      </c>
      <c r="C40" s="458"/>
      <c r="D40" s="458"/>
      <c r="E40" s="459"/>
      <c r="F40" s="468">
        <f>SUM(E33:E38)</f>
        <v>19693587.75</v>
      </c>
      <c r="G40" s="591"/>
      <c r="H40" s="336"/>
      <c r="I40" s="602">
        <f>SUM(H33:H39)</f>
        <v>15376494.25</v>
      </c>
    </row>
    <row r="41" spans="2:9" ht="13.5" customHeight="1">
      <c r="B41" s="603"/>
      <c r="C41" s="458"/>
      <c r="D41" s="458"/>
      <c r="E41" s="459"/>
      <c r="F41" s="461"/>
      <c r="G41" s="591"/>
      <c r="H41" s="336"/>
      <c r="I41" s="598"/>
    </row>
    <row r="42" spans="2:9" ht="13.5" customHeight="1">
      <c r="B42" s="595" t="s">
        <v>92</v>
      </c>
      <c r="C42" s="458"/>
      <c r="D42" s="458"/>
      <c r="E42" s="459"/>
      <c r="F42" s="469">
        <f>F40+F30</f>
        <v>22618969.99</v>
      </c>
      <c r="G42" s="591"/>
      <c r="H42" s="336"/>
      <c r="I42" s="604">
        <f>I40+I30</f>
        <v>17325607.31</v>
      </c>
    </row>
    <row r="43" spans="2:9" ht="15">
      <c r="B43" s="596"/>
      <c r="C43" s="458"/>
      <c r="D43" s="458"/>
      <c r="E43" s="459"/>
      <c r="F43" s="458"/>
      <c r="G43" s="591"/>
      <c r="H43" s="336"/>
      <c r="I43" s="598"/>
    </row>
    <row r="44" spans="2:9" ht="15">
      <c r="B44" s="599" t="s">
        <v>93</v>
      </c>
      <c r="C44" s="458"/>
      <c r="D44" s="458"/>
      <c r="E44" s="459"/>
      <c r="F44" s="458"/>
      <c r="G44" s="591"/>
      <c r="H44" s="336"/>
      <c r="I44" s="598"/>
    </row>
    <row r="45" spans="2:9" ht="15">
      <c r="B45" s="600" t="s">
        <v>428</v>
      </c>
      <c r="C45" s="458"/>
      <c r="D45" s="458"/>
      <c r="E45" s="459"/>
      <c r="F45" s="468" t="e">
        <f>+F17-F42</f>
        <v>#REF!</v>
      </c>
      <c r="G45" s="591"/>
      <c r="H45" s="336"/>
      <c r="I45" s="602">
        <f>+'[7]Balance Sheet (pg 1)'!$E$44</f>
        <v>-8375390.010000002</v>
      </c>
    </row>
    <row r="46" spans="2:9" ht="15">
      <c r="B46" s="596"/>
      <c r="C46" s="459"/>
      <c r="D46" s="459"/>
      <c r="E46" s="459"/>
      <c r="F46" s="458"/>
      <c r="G46" s="591"/>
      <c r="H46" s="336"/>
      <c r="I46" s="598"/>
    </row>
    <row r="47" spans="2:9" ht="15.75" thickBot="1">
      <c r="B47" s="605" t="s">
        <v>94</v>
      </c>
      <c r="C47" s="606"/>
      <c r="D47" s="606"/>
      <c r="E47" s="606"/>
      <c r="F47" s="462" t="e">
        <f>F42+F45</f>
        <v>#REF!</v>
      </c>
      <c r="G47" s="607"/>
      <c r="H47" s="579"/>
      <c r="I47" s="608">
        <f>I42+I45</f>
        <v>8950217.299999997</v>
      </c>
    </row>
    <row r="48" spans="2:7" ht="15.75" thickTop="1">
      <c r="B48" s="15"/>
      <c r="C48" s="454"/>
      <c r="D48" s="454"/>
      <c r="E48" s="454"/>
      <c r="F48" s="454"/>
      <c r="G48" s="13"/>
    </row>
    <row r="49" spans="2:7" ht="15">
      <c r="B49" s="15"/>
      <c r="F49" s="454"/>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56" hidden="1" customWidth="1"/>
    <col min="4" max="4" width="14.140625" style="0" hidden="1" customWidth="1"/>
    <col min="5" max="5" width="13.57421875" style="0" hidden="1" customWidth="1"/>
    <col min="6" max="6" width="14.7109375" style="630" customWidth="1"/>
    <col min="7" max="7" width="11.7109375" style="0" hidden="1" customWidth="1"/>
    <col min="8" max="8" width="12.57421875" style="0" hidden="1" customWidth="1"/>
    <col min="9" max="9" width="12.28125" style="0" hidden="1" customWidth="1"/>
    <col min="10" max="10" width="14.00390625" style="659" hidden="1" customWidth="1"/>
    <col min="11" max="11" width="15.00390625" style="659" hidden="1" customWidth="1"/>
    <col min="12" max="12" width="13.8515625" style="660" customWidth="1"/>
    <col min="13" max="15" width="9.140625" style="0" hidden="1" customWidth="1"/>
    <col min="16" max="16" width="14.28125" style="0" hidden="1" customWidth="1"/>
    <col min="17" max="17" width="12.28125" style="0" hidden="1" customWidth="1"/>
    <col min="18" max="18" width="13.140625" style="0" customWidth="1"/>
    <col min="19" max="19" width="10.57421875" style="675" customWidth="1"/>
    <col min="20" max="20" width="35.7109375" style="0" customWidth="1"/>
  </cols>
  <sheetData>
    <row r="1" spans="1:20" s="49" customFormat="1" ht="22.5" customHeight="1">
      <c r="A1" s="994" t="s">
        <v>77</v>
      </c>
      <c r="B1" s="994"/>
      <c r="C1" s="994"/>
      <c r="D1" s="994"/>
      <c r="E1" s="994"/>
      <c r="F1" s="994"/>
      <c r="G1" s="994"/>
      <c r="H1" s="994"/>
      <c r="I1" s="994"/>
      <c r="J1" s="994"/>
      <c r="K1" s="994"/>
      <c r="L1" s="994"/>
      <c r="M1" s="994"/>
      <c r="N1" s="994"/>
      <c r="O1" s="994"/>
      <c r="P1" s="994"/>
      <c r="Q1" s="994"/>
      <c r="R1" s="994"/>
      <c r="S1" s="994"/>
      <c r="T1" s="994"/>
    </row>
    <row r="2" ht="7.5" customHeight="1"/>
    <row r="3" spans="1:20" ht="19.5">
      <c r="A3" s="994" t="s">
        <v>409</v>
      </c>
      <c r="B3" s="994"/>
      <c r="C3" s="994"/>
      <c r="D3" s="994"/>
      <c r="E3" s="994"/>
      <c r="F3" s="994"/>
      <c r="G3" s="994"/>
      <c r="H3" s="994"/>
      <c r="I3" s="994"/>
      <c r="J3" s="994"/>
      <c r="K3" s="994"/>
      <c r="L3" s="994"/>
      <c r="M3" s="994"/>
      <c r="N3" s="994"/>
      <c r="O3" s="994"/>
      <c r="P3" s="994"/>
      <c r="Q3" s="994"/>
      <c r="R3" s="994"/>
      <c r="S3" s="994"/>
      <c r="T3" s="994"/>
    </row>
    <row r="4" spans="2:9" ht="8.25" customHeight="1">
      <c r="B4" s="620"/>
      <c r="C4" s="626"/>
      <c r="D4" s="620"/>
      <c r="E4" s="620"/>
      <c r="F4" s="626"/>
      <c r="G4" s="620"/>
      <c r="H4" s="620"/>
      <c r="I4" s="620"/>
    </row>
    <row r="5" spans="1:20" ht="19.5">
      <c r="A5" s="994" t="s">
        <v>301</v>
      </c>
      <c r="B5" s="994"/>
      <c r="C5" s="994"/>
      <c r="D5" s="994"/>
      <c r="E5" s="994"/>
      <c r="F5" s="994"/>
      <c r="G5" s="994"/>
      <c r="H5" s="994"/>
      <c r="I5" s="994"/>
      <c r="J5" s="994"/>
      <c r="K5" s="994"/>
      <c r="L5" s="994"/>
      <c r="M5" s="994"/>
      <c r="N5" s="994"/>
      <c r="O5" s="994"/>
      <c r="P5" s="994"/>
      <c r="Q5" s="994"/>
      <c r="R5" s="994"/>
      <c r="S5" s="994"/>
      <c r="T5" s="994"/>
    </row>
    <row r="6" spans="7:9" ht="12.75">
      <c r="G6" s="975" t="s">
        <v>58</v>
      </c>
      <c r="H6" s="975"/>
      <c r="I6" s="975"/>
    </row>
    <row r="7" spans="4:17" ht="12.75">
      <c r="D7" s="995" t="s">
        <v>426</v>
      </c>
      <c r="E7" s="995"/>
      <c r="F7" s="995"/>
      <c r="J7" s="995" t="s">
        <v>405</v>
      </c>
      <c r="K7" s="995"/>
      <c r="L7" s="995"/>
      <c r="M7" s="995"/>
      <c r="N7" s="995"/>
      <c r="O7" s="995"/>
      <c r="P7" s="995"/>
      <c r="Q7" s="995"/>
    </row>
    <row r="8" spans="4:18" ht="12.75">
      <c r="D8" s="639" t="s">
        <v>454</v>
      </c>
      <c r="E8" s="643" t="s">
        <v>455</v>
      </c>
      <c r="F8" s="995" t="s">
        <v>406</v>
      </c>
      <c r="G8" s="995"/>
      <c r="H8" s="995"/>
      <c r="I8" s="995"/>
      <c r="J8" s="995"/>
      <c r="K8" s="995"/>
      <c r="L8" s="995"/>
      <c r="P8" s="643"/>
      <c r="Q8" s="643"/>
      <c r="R8" s="643" t="s">
        <v>160</v>
      </c>
    </row>
    <row r="9" spans="2:20" ht="13.5" thickBot="1">
      <c r="B9" s="644" t="s">
        <v>303</v>
      </c>
      <c r="C9" s="634"/>
      <c r="D9" s="642" t="s">
        <v>453</v>
      </c>
      <c r="E9" s="644" t="s">
        <v>453</v>
      </c>
      <c r="F9" s="993" t="s">
        <v>298</v>
      </c>
      <c r="G9" s="993" t="s">
        <v>453</v>
      </c>
      <c r="H9" s="993" t="s">
        <v>453</v>
      </c>
      <c r="I9" s="993"/>
      <c r="J9" s="993" t="s">
        <v>453</v>
      </c>
      <c r="K9" s="993" t="s">
        <v>453</v>
      </c>
      <c r="L9" s="644" t="s">
        <v>299</v>
      </c>
      <c r="P9" s="644"/>
      <c r="Q9" s="631"/>
      <c r="R9" s="644" t="s">
        <v>360</v>
      </c>
      <c r="S9" s="670" t="s">
        <v>312</v>
      </c>
      <c r="T9" s="644" t="s">
        <v>313</v>
      </c>
    </row>
    <row r="10" spans="2:19" ht="12.75">
      <c r="B10" s="639"/>
      <c r="I10" s="352"/>
      <c r="S10" s="677"/>
    </row>
    <row r="11" spans="1:19" ht="12.75">
      <c r="A11" t="s">
        <v>144</v>
      </c>
      <c r="B11" s="639" t="s">
        <v>456</v>
      </c>
      <c r="C11" s="636"/>
      <c r="D11" s="637">
        <f>+'[1]TB03-31-04(Final)'!Z578+'[1]TB03-31-04(Final)'!E1004</f>
        <v>4438743.83</v>
      </c>
      <c r="E11" s="637">
        <v>0</v>
      </c>
      <c r="F11" s="720">
        <f>SUM(D11:E11)</f>
        <v>4438743.83</v>
      </c>
      <c r="G11" s="721"/>
      <c r="H11" s="721"/>
      <c r="I11" s="721">
        <f aca="true" t="shared" si="0" ref="I11:I28">SUM(G11:H11)</f>
        <v>0</v>
      </c>
      <c r="J11" s="722">
        <f>+'[6]TB09-30-02(Final)'!$I$511+'[6]TB09-30-02(Final)'!$E$911</f>
        <v>3977400.389999999</v>
      </c>
      <c r="K11" s="722"/>
      <c r="L11" s="720">
        <f>+J11+K11</f>
        <v>3977400.389999999</v>
      </c>
      <c r="M11" s="723"/>
      <c r="N11" s="723"/>
      <c r="O11" s="723"/>
      <c r="P11" s="723"/>
      <c r="Q11" s="723">
        <f>SUM(J11:P11)</f>
        <v>7954800.779999998</v>
      </c>
      <c r="R11" s="702">
        <f>+F11-L11</f>
        <v>461343.4400000009</v>
      </c>
      <c r="S11" s="674">
        <f>R11/L11</f>
        <v>0.11599119896501066</v>
      </c>
    </row>
    <row r="12" spans="2:19" ht="12.75">
      <c r="B12" s="639"/>
      <c r="C12" s="636"/>
      <c r="D12" s="637"/>
      <c r="E12" s="637"/>
      <c r="F12" s="650"/>
      <c r="G12" s="651"/>
      <c r="H12" s="651"/>
      <c r="I12" s="652"/>
      <c r="L12" s="650"/>
      <c r="Q12" s="633"/>
      <c r="R12" s="639"/>
      <c r="S12" s="674"/>
    </row>
    <row r="13" spans="2:19" ht="12.75">
      <c r="B13" s="639" t="s">
        <v>407</v>
      </c>
      <c r="C13" s="636"/>
      <c r="D13" s="637"/>
      <c r="E13" s="637"/>
      <c r="F13" s="650"/>
      <c r="G13" s="651"/>
      <c r="H13" s="651"/>
      <c r="I13" s="652"/>
      <c r="L13" s="650"/>
      <c r="Q13" s="633"/>
      <c r="R13" s="639"/>
      <c r="S13" s="674"/>
    </row>
    <row r="14" spans="2:19" ht="12.75">
      <c r="B14" s="639"/>
      <c r="C14" s="637"/>
      <c r="D14" s="637"/>
      <c r="E14" s="637"/>
      <c r="F14" s="650"/>
      <c r="G14" s="651"/>
      <c r="H14" s="651"/>
      <c r="I14" s="652"/>
      <c r="L14" s="650"/>
      <c r="Q14" s="633">
        <f aca="true" t="shared" si="1" ref="Q14:Q54">SUM(J14:P14)</f>
        <v>0</v>
      </c>
      <c r="R14" s="639"/>
      <c r="S14" s="674"/>
    </row>
    <row r="15" spans="1:20" ht="12.75">
      <c r="A15" t="s">
        <v>145</v>
      </c>
      <c r="B15" s="639" t="s">
        <v>385</v>
      </c>
      <c r="C15" s="636"/>
      <c r="D15" s="637">
        <v>0</v>
      </c>
      <c r="E15" s="637">
        <f>+'[1]TB03-31-04(Final)'!E630</f>
        <v>521247.75000000006</v>
      </c>
      <c r="F15" s="650">
        <f>SUM(D15:E15)</f>
        <v>521247.75000000006</v>
      </c>
      <c r="G15" s="651"/>
      <c r="H15" s="651"/>
      <c r="I15" s="652">
        <f t="shared" si="0"/>
        <v>0</v>
      </c>
      <c r="K15" s="659">
        <f>+'[6]TB09-30-02(Final)'!$E$551</f>
        <v>404349.55000000005</v>
      </c>
      <c r="L15" s="650">
        <f aca="true" t="shared" si="2" ref="L15:L54">+J15+K15</f>
        <v>404349.55000000005</v>
      </c>
      <c r="Q15" s="633">
        <f t="shared" si="1"/>
        <v>808699.1000000001</v>
      </c>
      <c r="R15" s="639">
        <f aca="true" t="shared" si="3" ref="R15:R65">+F15-L15</f>
        <v>116898.20000000001</v>
      </c>
      <c r="S15" s="674">
        <f>R15/L15</f>
        <v>0.2891018427002083</v>
      </c>
      <c r="T15" t="s">
        <v>43</v>
      </c>
    </row>
    <row r="16" spans="2:19" ht="12.75">
      <c r="B16" s="639"/>
      <c r="C16" s="636"/>
      <c r="D16" s="637"/>
      <c r="E16" s="637"/>
      <c r="F16" s="650"/>
      <c r="G16" s="651"/>
      <c r="H16" s="651"/>
      <c r="I16" s="652"/>
      <c r="L16" s="650"/>
      <c r="Q16" s="633">
        <f t="shared" si="1"/>
        <v>0</v>
      </c>
      <c r="R16" s="639"/>
      <c r="S16" s="674"/>
    </row>
    <row r="17" spans="1:19" ht="12.75">
      <c r="A17" t="s">
        <v>146</v>
      </c>
      <c r="B17" s="639" t="s">
        <v>457</v>
      </c>
      <c r="C17" s="636"/>
      <c r="D17" s="637">
        <v>0</v>
      </c>
      <c r="E17" s="637">
        <v>0</v>
      </c>
      <c r="F17" s="650">
        <f>SUM(D17:E17)</f>
        <v>0</v>
      </c>
      <c r="G17" s="651"/>
      <c r="H17" s="651"/>
      <c r="I17" s="652">
        <f t="shared" si="0"/>
        <v>0</v>
      </c>
      <c r="L17" s="650">
        <f t="shared" si="2"/>
        <v>0</v>
      </c>
      <c r="Q17" s="633">
        <f t="shared" si="1"/>
        <v>0</v>
      </c>
      <c r="R17" s="639">
        <f t="shared" si="3"/>
        <v>0</v>
      </c>
      <c r="S17" s="674"/>
    </row>
    <row r="18" spans="2:19" ht="12.75">
      <c r="B18" s="639"/>
      <c r="C18" s="636"/>
      <c r="D18" s="637"/>
      <c r="E18" s="637"/>
      <c r="F18" s="650"/>
      <c r="G18" s="651"/>
      <c r="H18" s="651"/>
      <c r="I18" s="652"/>
      <c r="L18" s="650"/>
      <c r="Q18" s="633">
        <f t="shared" si="1"/>
        <v>0</v>
      </c>
      <c r="R18" s="639"/>
      <c r="S18" s="674"/>
    </row>
    <row r="19" spans="1:19" ht="12.75">
      <c r="A19" t="s">
        <v>147</v>
      </c>
      <c r="B19" s="639" t="s">
        <v>458</v>
      </c>
      <c r="C19" s="636"/>
      <c r="D19" s="637"/>
      <c r="E19" s="637">
        <f>+'[1]TB03-31-04(Final)'!E639</f>
        <v>3506.25</v>
      </c>
      <c r="F19" s="650">
        <f>SUM(D19:E19)</f>
        <v>3506.25</v>
      </c>
      <c r="G19" s="651"/>
      <c r="H19" s="651"/>
      <c r="I19" s="652">
        <f t="shared" si="0"/>
        <v>0</v>
      </c>
      <c r="K19" s="659">
        <f>+'[6]TB09-30-02(Final)'!$E$559</f>
        <v>4125</v>
      </c>
      <c r="L19" s="650">
        <f t="shared" si="2"/>
        <v>4125</v>
      </c>
      <c r="Q19" s="633">
        <f t="shared" si="1"/>
        <v>8250</v>
      </c>
      <c r="R19" s="639">
        <f t="shared" si="3"/>
        <v>-618.75</v>
      </c>
      <c r="S19" s="674">
        <f>R19/L19</f>
        <v>-0.15</v>
      </c>
    </row>
    <row r="21" spans="1:20" ht="12.75">
      <c r="A21" t="s">
        <v>148</v>
      </c>
      <c r="B21" s="639" t="s">
        <v>411</v>
      </c>
      <c r="C21" s="636"/>
      <c r="D21" s="637">
        <v>0</v>
      </c>
      <c r="E21" s="637">
        <v>0</v>
      </c>
      <c r="F21" s="650">
        <f>SUM(D21:E21)</f>
        <v>0</v>
      </c>
      <c r="G21" s="651"/>
      <c r="H21" s="651"/>
      <c r="I21" s="652"/>
      <c r="K21" s="659">
        <f>+'[6]TB09-30-02(Final)'!$E$555</f>
        <v>14250</v>
      </c>
      <c r="L21" s="650">
        <f>+J21+K21</f>
        <v>14250</v>
      </c>
      <c r="Q21" s="633">
        <f>SUM(J21:P21)</f>
        <v>28500</v>
      </c>
      <c r="R21" s="639">
        <f>+F21-L21</f>
        <v>-14250</v>
      </c>
      <c r="S21" s="674">
        <f>R21/L21</f>
        <v>-1</v>
      </c>
      <c r="T21" t="s">
        <v>410</v>
      </c>
    </row>
    <row r="22" spans="2:19" ht="12.75">
      <c r="B22" s="639" t="s">
        <v>412</v>
      </c>
      <c r="C22" s="636"/>
      <c r="D22" s="637"/>
      <c r="E22" s="637"/>
      <c r="F22" s="650">
        <f>SUM(D23:E23)</f>
        <v>93073.73</v>
      </c>
      <c r="G22" s="651"/>
      <c r="H22" s="651"/>
      <c r="I22" s="652">
        <f>SUM(G22:H22)</f>
        <v>0</v>
      </c>
      <c r="K22" s="659">
        <f>'[6]TB09-30-02(Final)'!$E$565</f>
        <v>72119.22</v>
      </c>
      <c r="L22" s="650">
        <f>+J22+K22</f>
        <v>72119.22</v>
      </c>
      <c r="Q22" s="633">
        <f>SUM(J22:P22)</f>
        <v>144238.44</v>
      </c>
      <c r="R22" s="639">
        <f>+F22-L22</f>
        <v>20954.509999999995</v>
      </c>
      <c r="S22" s="674">
        <f>R22/L22</f>
        <v>0.2905537525225591</v>
      </c>
    </row>
    <row r="23" spans="3:5" ht="12.75">
      <c r="C23" s="636"/>
      <c r="D23" s="637">
        <f>+'[1]TB03-31-04(Final)'!D633</f>
        <v>104.64</v>
      </c>
      <c r="E23" s="637">
        <f>+'[1]TB03-31-04(Final)'!E647</f>
        <v>92969.09</v>
      </c>
    </row>
    <row r="24" spans="2:19" ht="12.75">
      <c r="B24" s="639"/>
      <c r="C24" s="636"/>
      <c r="D24" s="637"/>
      <c r="E24" s="637"/>
      <c r="F24" s="650"/>
      <c r="G24" s="651"/>
      <c r="H24" s="651"/>
      <c r="I24" s="652">
        <f t="shared" si="0"/>
        <v>0</v>
      </c>
      <c r="L24" s="650"/>
      <c r="Q24" s="633">
        <f t="shared" si="1"/>
        <v>0</v>
      </c>
      <c r="R24" s="639"/>
      <c r="S24" s="674"/>
    </row>
    <row r="25" spans="1:20" ht="12.75">
      <c r="A25" t="s">
        <v>149</v>
      </c>
      <c r="B25" s="639" t="s">
        <v>319</v>
      </c>
      <c r="C25" s="636">
        <v>542.61</v>
      </c>
      <c r="D25" s="637">
        <f>+'[1]TB03-31-04(Final)'!Z765</f>
        <v>642.87</v>
      </c>
      <c r="E25" s="637">
        <f>+'[1]TB03-31-04(Final)'!Z768</f>
        <v>4352.13</v>
      </c>
      <c r="F25" s="650">
        <f>SUM(D25:E25)</f>
        <v>4995</v>
      </c>
      <c r="G25" s="651"/>
      <c r="H25" s="651"/>
      <c r="I25" s="652">
        <f t="shared" si="0"/>
        <v>0</v>
      </c>
      <c r="J25" s="661">
        <v>-9625.77</v>
      </c>
      <c r="K25" s="659">
        <f>+'[6]TB09-30-02(Final)'!$E$678-J25</f>
        <v>-67442.04</v>
      </c>
      <c r="L25" s="650">
        <f t="shared" si="2"/>
        <v>-77067.81</v>
      </c>
      <c r="Q25" s="633">
        <f t="shared" si="1"/>
        <v>-154135.62</v>
      </c>
      <c r="R25" s="639">
        <f t="shared" si="3"/>
        <v>82062.81</v>
      </c>
      <c r="S25" s="674">
        <f>R25/L25</f>
        <v>-1.0648130522977104</v>
      </c>
      <c r="T25" t="s">
        <v>420</v>
      </c>
    </row>
    <row r="26" spans="2:19" ht="12.75">
      <c r="B26" s="639"/>
      <c r="C26" s="636"/>
      <c r="D26" s="637"/>
      <c r="E26" s="637"/>
      <c r="F26" s="650"/>
      <c r="G26" s="651"/>
      <c r="H26" s="651"/>
      <c r="I26" s="652">
        <f t="shared" si="0"/>
        <v>0</v>
      </c>
      <c r="J26" s="661"/>
      <c r="L26" s="650">
        <f t="shared" si="2"/>
        <v>0</v>
      </c>
      <c r="Q26" s="633">
        <f t="shared" si="1"/>
        <v>0</v>
      </c>
      <c r="R26" s="639">
        <f t="shared" si="3"/>
        <v>0</v>
      </c>
      <c r="S26" s="674"/>
    </row>
    <row r="27" spans="1:19" ht="12.75">
      <c r="A27" t="s">
        <v>150</v>
      </c>
      <c r="B27" s="639" t="s">
        <v>459</v>
      </c>
      <c r="C27" s="636"/>
      <c r="D27" s="637"/>
      <c r="E27" s="637"/>
      <c r="F27" s="650">
        <f>SUM(D27:E27)</f>
        <v>0</v>
      </c>
      <c r="G27" s="651"/>
      <c r="H27" s="651"/>
      <c r="I27" s="652">
        <f t="shared" si="0"/>
        <v>0</v>
      </c>
      <c r="J27" s="661"/>
      <c r="L27" s="650">
        <f t="shared" si="2"/>
        <v>0</v>
      </c>
      <c r="Q27" s="633">
        <f t="shared" si="1"/>
        <v>0</v>
      </c>
      <c r="R27" s="639">
        <f t="shared" si="3"/>
        <v>0</v>
      </c>
      <c r="S27" s="674"/>
    </row>
    <row r="28" spans="2:19" ht="12.75">
      <c r="B28" s="637" t="s">
        <v>460</v>
      </c>
      <c r="C28" s="636">
        <v>52540.85</v>
      </c>
      <c r="D28" s="637">
        <f>+'[1]TB03-31-04(Final)'!D654</f>
        <v>64199.27</v>
      </c>
      <c r="E28" s="637">
        <f>+'[1]TB03-31-04(Final)'!E657-D28</f>
        <v>442443.3300000001</v>
      </c>
      <c r="F28" s="650">
        <f>SUM(D28:E28)</f>
        <v>506642.6000000001</v>
      </c>
      <c r="G28" s="651"/>
      <c r="H28" s="651"/>
      <c r="I28" s="652">
        <f t="shared" si="0"/>
        <v>0</v>
      </c>
      <c r="J28" s="661">
        <f>+'[6]TB09-30-02(Final)'!$D$572</f>
        <v>60915.6</v>
      </c>
      <c r="K28" s="659">
        <f>+'[6]TB09-30-02(Final)'!$E$575-J28</f>
        <v>433011.91</v>
      </c>
      <c r="L28" s="650">
        <f t="shared" si="2"/>
        <v>493927.50999999995</v>
      </c>
      <c r="Q28" s="633">
        <f t="shared" si="1"/>
        <v>987855.0199999999</v>
      </c>
      <c r="R28" s="639">
        <f t="shared" si="3"/>
        <v>12715.090000000142</v>
      </c>
      <c r="S28" s="674">
        <f>R28/L28</f>
        <v>0.025742826108228197</v>
      </c>
    </row>
    <row r="29" spans="2:19" ht="12.75">
      <c r="B29" s="637" t="s">
        <v>461</v>
      </c>
      <c r="C29" s="636">
        <f>3911.93+556.52+147.7-0.79</f>
        <v>4615.36</v>
      </c>
      <c r="D29" s="637">
        <f>+'[1]TB03-31-04(Final)'!Z760</f>
        <v>6232.78</v>
      </c>
      <c r="E29" s="637">
        <f>+'[1]TB03-31-04(Final)'!Z761-D29</f>
        <v>43720.38000000001</v>
      </c>
      <c r="F29" s="650">
        <f>SUM(D29:E29)</f>
        <v>49953.16000000001</v>
      </c>
      <c r="G29" s="651"/>
      <c r="H29" s="651"/>
      <c r="I29" s="652"/>
      <c r="J29" s="661">
        <f>4560.4+633.08+166.63+5.08+7.99</f>
        <v>5373.179999999999</v>
      </c>
      <c r="K29" s="659">
        <f>SUM('[6]TB09-30-02(Final)'!$E$631:$E$670)-J29</f>
        <v>36787.85</v>
      </c>
      <c r="L29" s="650">
        <f t="shared" si="2"/>
        <v>42161.03</v>
      </c>
      <c r="Q29" s="633">
        <f t="shared" si="1"/>
        <v>84322.06</v>
      </c>
      <c r="R29" s="639">
        <f t="shared" si="3"/>
        <v>7792.130000000012</v>
      </c>
      <c r="S29" s="674">
        <f>R29/L29</f>
        <v>0.18481830258890763</v>
      </c>
    </row>
    <row r="30" spans="2:19" ht="12.75">
      <c r="B30" s="639"/>
      <c r="C30" s="636"/>
      <c r="D30" s="637"/>
      <c r="E30" s="637"/>
      <c r="F30" s="650">
        <f>SUM(D30:E30)</f>
        <v>0</v>
      </c>
      <c r="G30" s="651"/>
      <c r="H30" s="651"/>
      <c r="I30" s="652"/>
      <c r="J30" s="661"/>
      <c r="L30" s="650">
        <f t="shared" si="2"/>
        <v>0</v>
      </c>
      <c r="Q30" s="633">
        <f t="shared" si="1"/>
        <v>0</v>
      </c>
      <c r="R30" s="639">
        <f t="shared" si="3"/>
        <v>0</v>
      </c>
      <c r="S30" s="674"/>
    </row>
    <row r="31" spans="1:20" ht="12.75">
      <c r="A31" t="s">
        <v>151</v>
      </c>
      <c r="B31" s="639" t="s">
        <v>251</v>
      </c>
      <c r="C31" s="636">
        <f>248.53+79.86+13823.98+583+3163.07+9266.34</f>
        <v>27164.78</v>
      </c>
      <c r="D31" s="637">
        <f>+'[1]TB03-31-04(Final)'!Z720</f>
        <v>34486.11</v>
      </c>
      <c r="E31" s="637">
        <f>+'[1]TB03-31-04(Final)'!Z721-'[1]TB03-31-04(Final)'!Z720</f>
        <v>244292.7</v>
      </c>
      <c r="F31" s="650">
        <f>SUM(D31:E31)</f>
        <v>278778.81</v>
      </c>
      <c r="G31" s="651"/>
      <c r="H31" s="651"/>
      <c r="I31" s="652"/>
      <c r="J31" s="661">
        <f>253.57+92.43+12124.74+539.42+3593.13+2822.87</f>
        <v>19426.16</v>
      </c>
      <c r="K31" s="659">
        <f>SUM('[6]TB09-30-02(Final)'!$E$581:$E$630)-J31</f>
        <v>140199.27</v>
      </c>
      <c r="L31" s="650">
        <f t="shared" si="2"/>
        <v>159625.43</v>
      </c>
      <c r="Q31" s="633">
        <f t="shared" si="1"/>
        <v>319250.86</v>
      </c>
      <c r="R31" s="639">
        <f t="shared" si="3"/>
        <v>119153.38</v>
      </c>
      <c r="S31" s="674">
        <f>R31/L31</f>
        <v>0.7464561254431704</v>
      </c>
      <c r="T31" s="352">
        <v>137024.19</v>
      </c>
    </row>
    <row r="32" spans="2:20" ht="12.75">
      <c r="B32" s="637" t="s">
        <v>359</v>
      </c>
      <c r="C32" s="636"/>
      <c r="D32" s="637"/>
      <c r="E32" s="637"/>
      <c r="F32" s="650"/>
      <c r="G32" s="651"/>
      <c r="H32" s="651"/>
      <c r="I32" s="652"/>
      <c r="J32" s="661"/>
      <c r="L32" s="650">
        <f t="shared" si="2"/>
        <v>0</v>
      </c>
      <c r="Q32" s="633">
        <f t="shared" si="1"/>
        <v>0</v>
      </c>
      <c r="R32" s="639">
        <f t="shared" si="3"/>
        <v>0</v>
      </c>
      <c r="S32" s="674"/>
      <c r="T32" s="352">
        <v>22601.24</v>
      </c>
    </row>
    <row r="33" spans="2:20" ht="12.75">
      <c r="B33" s="637" t="s">
        <v>358</v>
      </c>
      <c r="C33" s="636"/>
      <c r="D33" s="637"/>
      <c r="E33" s="637"/>
      <c r="F33" s="650"/>
      <c r="G33" s="651"/>
      <c r="H33" s="651"/>
      <c r="I33" s="652"/>
      <c r="J33" s="661"/>
      <c r="L33" s="650">
        <f t="shared" si="2"/>
        <v>0</v>
      </c>
      <c r="Q33" s="633">
        <f t="shared" si="1"/>
        <v>0</v>
      </c>
      <c r="R33" s="639">
        <f t="shared" si="3"/>
        <v>0</v>
      </c>
      <c r="S33" s="674"/>
      <c r="T33" s="352">
        <v>0</v>
      </c>
    </row>
    <row r="34" spans="2:20" ht="12.75">
      <c r="B34" s="639"/>
      <c r="C34" s="636"/>
      <c r="D34" s="637"/>
      <c r="E34" s="637"/>
      <c r="F34" s="650"/>
      <c r="G34" s="651"/>
      <c r="H34" s="651"/>
      <c r="I34" s="652"/>
      <c r="J34" s="661"/>
      <c r="L34" s="650"/>
      <c r="Q34" s="633">
        <f t="shared" si="1"/>
        <v>0</v>
      </c>
      <c r="R34" s="639"/>
      <c r="S34" s="674"/>
      <c r="T34" t="s">
        <v>417</v>
      </c>
    </row>
    <row r="35" spans="1:20" ht="12.75">
      <c r="A35" t="s">
        <v>152</v>
      </c>
      <c r="B35" s="639" t="s">
        <v>435</v>
      </c>
      <c r="C35" s="636"/>
      <c r="D35" s="637">
        <f>+'[1]TB03-31-04(Final)'!Z963</f>
        <v>0</v>
      </c>
      <c r="E35" s="637">
        <f>+'[1]TB03-31-04(Final)'!E966</f>
        <v>0</v>
      </c>
      <c r="F35" s="650">
        <f aca="true" t="shared" si="4" ref="F35:F46">SUM(D35:E35)</f>
        <v>0</v>
      </c>
      <c r="G35" s="651"/>
      <c r="H35" s="651"/>
      <c r="I35" s="652"/>
      <c r="J35" s="661">
        <f>+'[6]TB09-30-02(Final)'!$D$872</f>
        <v>0</v>
      </c>
      <c r="K35" s="659">
        <f>+'[6]TB09-30-02(Final)'!$E$875-J35</f>
        <v>17941</v>
      </c>
      <c r="L35" s="650">
        <f t="shared" si="2"/>
        <v>17941</v>
      </c>
      <c r="Q35" s="633">
        <f t="shared" si="1"/>
        <v>35882</v>
      </c>
      <c r="R35" s="639">
        <f t="shared" si="3"/>
        <v>-17941</v>
      </c>
      <c r="S35" s="674">
        <f>R35/L35</f>
        <v>-1</v>
      </c>
      <c r="T35" t="s">
        <v>421</v>
      </c>
    </row>
    <row r="36" spans="2:19" ht="12.75">
      <c r="B36" s="639"/>
      <c r="C36" s="636"/>
      <c r="D36" s="637"/>
      <c r="E36" s="637"/>
      <c r="F36" s="650">
        <f t="shared" si="4"/>
        <v>0</v>
      </c>
      <c r="G36" s="651"/>
      <c r="H36" s="651"/>
      <c r="I36" s="652"/>
      <c r="J36" s="661"/>
      <c r="L36" s="650">
        <f t="shared" si="2"/>
        <v>0</v>
      </c>
      <c r="Q36" s="633">
        <f t="shared" si="1"/>
        <v>0</v>
      </c>
      <c r="R36" s="639">
        <f t="shared" si="3"/>
        <v>0</v>
      </c>
      <c r="S36" s="674"/>
    </row>
    <row r="37" spans="1:19" ht="12.75">
      <c r="A37" t="s">
        <v>153</v>
      </c>
      <c r="B37" s="639" t="s">
        <v>463</v>
      </c>
      <c r="C37" s="636"/>
      <c r="D37" s="637">
        <v>0</v>
      </c>
      <c r="E37" s="637">
        <v>700</v>
      </c>
      <c r="F37" s="650">
        <f t="shared" si="4"/>
        <v>700</v>
      </c>
      <c r="G37" s="651"/>
      <c r="H37" s="651"/>
      <c r="I37" s="652"/>
      <c r="J37" s="661">
        <v>0</v>
      </c>
      <c r="K37" s="659">
        <f>+'[6]TB09-30-02(Final)'!$E$708-J37</f>
        <v>1300</v>
      </c>
      <c r="L37" s="650">
        <f t="shared" si="2"/>
        <v>1300</v>
      </c>
      <c r="Q37" s="633">
        <f t="shared" si="1"/>
        <v>2600</v>
      </c>
      <c r="R37" s="639">
        <f t="shared" si="3"/>
        <v>-600</v>
      </c>
      <c r="S37" s="674">
        <f>R37/L37</f>
        <v>-0.46153846153846156</v>
      </c>
    </row>
    <row r="38" spans="2:19" ht="12.75">
      <c r="B38" s="639"/>
      <c r="C38" s="636"/>
      <c r="D38" s="637"/>
      <c r="E38" s="637"/>
      <c r="F38" s="650">
        <f t="shared" si="4"/>
        <v>0</v>
      </c>
      <c r="G38" s="651"/>
      <c r="H38" s="651"/>
      <c r="I38" s="652"/>
      <c r="J38" s="661"/>
      <c r="L38" s="650">
        <f t="shared" si="2"/>
        <v>0</v>
      </c>
      <c r="Q38" s="633">
        <f t="shared" si="1"/>
        <v>0</v>
      </c>
      <c r="R38" s="639">
        <f t="shared" si="3"/>
        <v>0</v>
      </c>
      <c r="S38" s="674"/>
    </row>
    <row r="39" spans="1:19" ht="12.75">
      <c r="A39" t="s">
        <v>154</v>
      </c>
      <c r="B39" s="639" t="s">
        <v>464</v>
      </c>
      <c r="C39" s="636">
        <v>1427.25</v>
      </c>
      <c r="D39" s="637">
        <f>+'[1]TB03-31-04(Final)'!Z955</f>
        <v>458.98</v>
      </c>
      <c r="E39" s="637">
        <f>+'[1]TB03-31-04(Final)'!Z958</f>
        <v>1732.87</v>
      </c>
      <c r="F39" s="650">
        <f t="shared" si="4"/>
        <v>2191.85</v>
      </c>
      <c r="G39" s="651"/>
      <c r="H39" s="651"/>
      <c r="I39" s="652"/>
      <c r="J39" s="661">
        <v>330.55</v>
      </c>
      <c r="K39" s="659">
        <f>SUM('[6]TB09-30-02(Final)'!$E$867)-J39</f>
        <v>3342.7299999999996</v>
      </c>
      <c r="L39" s="650">
        <f t="shared" si="2"/>
        <v>3673.2799999999997</v>
      </c>
      <c r="Q39" s="633">
        <f t="shared" si="1"/>
        <v>7346.5599999999995</v>
      </c>
      <c r="R39" s="639">
        <f t="shared" si="3"/>
        <v>-1481.4299999999998</v>
      </c>
      <c r="S39" s="674">
        <f>R39/L39</f>
        <v>-0.4032989589685512</v>
      </c>
    </row>
    <row r="40" spans="2:19" ht="12.75">
      <c r="B40" s="639"/>
      <c r="C40" s="636"/>
      <c r="D40" s="637"/>
      <c r="E40" s="637"/>
      <c r="F40" s="650">
        <f t="shared" si="4"/>
        <v>0</v>
      </c>
      <c r="G40" s="651"/>
      <c r="H40" s="651"/>
      <c r="I40" s="652"/>
      <c r="J40" s="661"/>
      <c r="L40" s="650">
        <f t="shared" si="2"/>
        <v>0</v>
      </c>
      <c r="Q40" s="633">
        <f t="shared" si="1"/>
        <v>0</v>
      </c>
      <c r="R40" s="639">
        <f t="shared" si="3"/>
        <v>0</v>
      </c>
      <c r="S40" s="674"/>
    </row>
    <row r="41" spans="1:19" ht="12.75">
      <c r="A41" t="s">
        <v>155</v>
      </c>
      <c r="B41" s="639" t="s">
        <v>465</v>
      </c>
      <c r="C41" s="636">
        <f>8755.56+916.17+869.2</f>
        <v>10540.93</v>
      </c>
      <c r="D41" s="637">
        <f>+'[1]TB03-31-04(Final)'!Z885+'[1]TB03-31-04(Final)'!Z893+'[1]TB03-31-04(Final)'!Z916</f>
        <v>10203.87</v>
      </c>
      <c r="E41" s="637">
        <f>+'[1]TB03-31-04(Final)'!Z896+'[1]TB03-31-04(Final)'!Z918-D41</f>
        <v>80439.4</v>
      </c>
      <c r="F41" s="650">
        <f t="shared" si="4"/>
        <v>90643.26999999999</v>
      </c>
      <c r="G41" s="651"/>
      <c r="H41" s="651"/>
      <c r="I41" s="652"/>
      <c r="J41" s="661">
        <f>8555.67+1016.99+833.91</f>
        <v>10406.57</v>
      </c>
      <c r="K41" s="659">
        <f>SUM('[6]TB09-30-02(Final)'!$E$798:$E$806)+'[6]TB09-30-02(Final)'!$E$828-J41</f>
        <v>82521.57999999999</v>
      </c>
      <c r="L41" s="650">
        <f t="shared" si="2"/>
        <v>92928.15</v>
      </c>
      <c r="Q41" s="633">
        <f t="shared" si="1"/>
        <v>185856.3</v>
      </c>
      <c r="R41" s="639">
        <f t="shared" si="3"/>
        <v>-2284.8800000000047</v>
      </c>
      <c r="S41" s="674">
        <f>R41/L41</f>
        <v>-0.024587598052904367</v>
      </c>
    </row>
    <row r="42" spans="2:19" ht="12.75">
      <c r="B42" s="639"/>
      <c r="C42" s="636"/>
      <c r="D42" s="637"/>
      <c r="E42" s="637"/>
      <c r="F42" s="650">
        <f t="shared" si="4"/>
        <v>0</v>
      </c>
      <c r="G42" s="651"/>
      <c r="H42" s="651"/>
      <c r="I42" s="652"/>
      <c r="J42" s="661"/>
      <c r="L42" s="650">
        <f t="shared" si="2"/>
        <v>0</v>
      </c>
      <c r="Q42" s="633">
        <f t="shared" si="1"/>
        <v>0</v>
      </c>
      <c r="R42" s="639">
        <f t="shared" si="3"/>
        <v>0</v>
      </c>
      <c r="S42" s="674"/>
    </row>
    <row r="43" spans="1:19" ht="12.75">
      <c r="A43" t="s">
        <v>156</v>
      </c>
      <c r="B43" s="639" t="s">
        <v>8</v>
      </c>
      <c r="C43" s="636">
        <v>1404</v>
      </c>
      <c r="D43" s="637">
        <f>+'[1]TB03-31-04(Final)'!Z879</f>
        <v>1666.56</v>
      </c>
      <c r="E43" s="637">
        <f>+'[1]TB03-31-04(Final)'!Z880-D43</f>
        <v>13585.060000000001</v>
      </c>
      <c r="F43" s="650">
        <f t="shared" si="4"/>
        <v>15251.62</v>
      </c>
      <c r="G43" s="651"/>
      <c r="H43" s="651"/>
      <c r="I43" s="652"/>
      <c r="J43" s="661">
        <v>1418.66</v>
      </c>
      <c r="K43" s="659">
        <f>SUM('[6]TB09-30-02(Final)'!$E$782)+'[6]TB09-30-02(Final)'!$D$789-J43</f>
        <v>11079.07</v>
      </c>
      <c r="L43" s="650">
        <f t="shared" si="2"/>
        <v>12497.73</v>
      </c>
      <c r="Q43" s="633">
        <f t="shared" si="1"/>
        <v>24995.46</v>
      </c>
      <c r="R43" s="639">
        <f t="shared" si="3"/>
        <v>2753.8900000000012</v>
      </c>
      <c r="S43" s="674">
        <f>R43/L43</f>
        <v>0.2203512157807859</v>
      </c>
    </row>
    <row r="44" spans="2:19" ht="12.75">
      <c r="B44" s="639"/>
      <c r="C44" s="636"/>
      <c r="D44" s="637"/>
      <c r="E44" s="637"/>
      <c r="F44" s="650">
        <f t="shared" si="4"/>
        <v>0</v>
      </c>
      <c r="G44" s="651"/>
      <c r="H44" s="651"/>
      <c r="I44" s="652"/>
      <c r="J44" s="661"/>
      <c r="L44" s="650">
        <f t="shared" si="2"/>
        <v>0</v>
      </c>
      <c r="Q44" s="633">
        <f t="shared" si="1"/>
        <v>0</v>
      </c>
      <c r="R44" s="639">
        <f t="shared" si="3"/>
        <v>0</v>
      </c>
      <c r="S44" s="674"/>
    </row>
    <row r="45" spans="1:19" ht="12.75">
      <c r="A45" t="s">
        <v>157</v>
      </c>
      <c r="B45" s="639" t="s">
        <v>318</v>
      </c>
      <c r="C45" s="636">
        <f>1424.49+806+206</f>
        <v>2436.49</v>
      </c>
      <c r="D45" s="637">
        <f>SUM(B46:B48)</f>
        <v>2435.74</v>
      </c>
      <c r="E45" s="637">
        <f>+'[1]TB03-31-04(Final)'!Z863-D45</f>
        <v>19064.65</v>
      </c>
      <c r="F45" s="650">
        <f t="shared" si="4"/>
        <v>21500.39</v>
      </c>
      <c r="G45" s="651"/>
      <c r="H45" s="651"/>
      <c r="I45" s="652"/>
      <c r="J45" s="661">
        <f>1843.4+1541.91+236.81</f>
        <v>3622.1200000000003</v>
      </c>
      <c r="K45" s="659">
        <f>SUM('[6]TB09-30-02(Final)'!$E$742:$E$773)-J45</f>
        <v>25378.04</v>
      </c>
      <c r="L45" s="650">
        <f t="shared" si="2"/>
        <v>29000.16</v>
      </c>
      <c r="Q45" s="633">
        <f t="shared" si="1"/>
        <v>58000.32</v>
      </c>
      <c r="R45" s="639">
        <f t="shared" si="3"/>
        <v>-7499.77</v>
      </c>
      <c r="S45" s="674">
        <f>R45/L45</f>
        <v>-0.2586113317995487</v>
      </c>
    </row>
    <row r="46" spans="2:19" ht="12.75" hidden="1">
      <c r="B46" s="639">
        <v>1424.49</v>
      </c>
      <c r="C46" s="636"/>
      <c r="D46" s="637"/>
      <c r="E46" s="637"/>
      <c r="F46" s="650">
        <f t="shared" si="4"/>
        <v>0</v>
      </c>
      <c r="G46" s="651"/>
      <c r="H46" s="651"/>
      <c r="I46" s="652"/>
      <c r="J46" s="661"/>
      <c r="L46" s="650">
        <f t="shared" si="2"/>
        <v>0</v>
      </c>
      <c r="Q46" s="633">
        <f t="shared" si="1"/>
        <v>0</v>
      </c>
      <c r="R46" s="639">
        <f t="shared" si="3"/>
        <v>0</v>
      </c>
      <c r="S46" s="674" t="e">
        <f>R46/L46</f>
        <v>#DIV/0!</v>
      </c>
    </row>
    <row r="47" spans="2:19" ht="12.75" hidden="1">
      <c r="B47" s="639">
        <v>805.55</v>
      </c>
      <c r="C47" s="636"/>
      <c r="D47" s="637"/>
      <c r="E47" s="637"/>
      <c r="F47" s="650"/>
      <c r="G47" s="651"/>
      <c r="H47" s="651"/>
      <c r="I47" s="652"/>
      <c r="J47" s="661"/>
      <c r="L47" s="650">
        <f t="shared" si="2"/>
        <v>0</v>
      </c>
      <c r="Q47" s="633">
        <f t="shared" si="1"/>
        <v>0</v>
      </c>
      <c r="R47" s="639">
        <f t="shared" si="3"/>
        <v>0</v>
      </c>
      <c r="S47" s="674" t="e">
        <f>R47/L47</f>
        <v>#DIV/0!</v>
      </c>
    </row>
    <row r="48" spans="2:19" ht="12.75" hidden="1">
      <c r="B48" s="639">
        <v>205.7</v>
      </c>
      <c r="C48" s="636"/>
      <c r="D48" s="637"/>
      <c r="E48" s="637"/>
      <c r="F48" s="650"/>
      <c r="G48" s="651"/>
      <c r="H48" s="651"/>
      <c r="I48" s="652"/>
      <c r="J48" s="661"/>
      <c r="L48" s="650">
        <f t="shared" si="2"/>
        <v>0</v>
      </c>
      <c r="Q48" s="633">
        <f t="shared" si="1"/>
        <v>0</v>
      </c>
      <c r="R48" s="639">
        <f t="shared" si="3"/>
        <v>0</v>
      </c>
      <c r="S48" s="674" t="e">
        <f>R48/L48</f>
        <v>#DIV/0!</v>
      </c>
    </row>
    <row r="49" spans="2:19" ht="12.75">
      <c r="B49" s="639"/>
      <c r="C49" s="636"/>
      <c r="D49" s="637"/>
      <c r="E49" s="637"/>
      <c r="F49" s="650"/>
      <c r="G49" s="651"/>
      <c r="H49" s="651"/>
      <c r="I49" s="652"/>
      <c r="J49" s="661"/>
      <c r="L49" s="650">
        <f t="shared" si="2"/>
        <v>0</v>
      </c>
      <c r="Q49" s="633">
        <f t="shared" si="1"/>
        <v>0</v>
      </c>
      <c r="R49" s="639">
        <f t="shared" si="3"/>
        <v>0</v>
      </c>
      <c r="S49" s="674"/>
    </row>
    <row r="50" spans="1:19" ht="12.75">
      <c r="A50" t="s">
        <v>158</v>
      </c>
      <c r="B50" s="639" t="s">
        <v>10</v>
      </c>
      <c r="C50" s="636">
        <f>801.69+675.35</f>
        <v>1477.04</v>
      </c>
      <c r="D50" s="637">
        <f>+'[1]TB03-31-04(Final)'!Z941</f>
        <v>2273.06</v>
      </c>
      <c r="E50" s="637">
        <f>+'[1]TB03-31-04(Final)'!Z942-D50</f>
        <v>23542.219999999998</v>
      </c>
      <c r="F50" s="650">
        <f>SUM(D50:E50)</f>
        <v>25815.28</v>
      </c>
      <c r="G50" s="651"/>
      <c r="H50" s="651"/>
      <c r="I50" s="652"/>
      <c r="J50" s="661">
        <f>263.34+1215.67+5.48</f>
        <v>1484.49</v>
      </c>
      <c r="K50" s="659">
        <f>SUM('[6]TB09-30-02(Final)'!$E$829:$E$860)-J50</f>
        <v>25704.69</v>
      </c>
      <c r="L50" s="650">
        <f t="shared" si="2"/>
        <v>27189.18</v>
      </c>
      <c r="Q50" s="633">
        <f t="shared" si="1"/>
        <v>54378.36</v>
      </c>
      <c r="R50" s="639">
        <f t="shared" si="3"/>
        <v>-1373.9000000000015</v>
      </c>
      <c r="S50" s="674">
        <f>R50/L50</f>
        <v>-0.05053113039819522</v>
      </c>
    </row>
    <row r="51" spans="2:19" ht="12.75">
      <c r="B51" s="639"/>
      <c r="C51" s="636"/>
      <c r="D51" s="637"/>
      <c r="E51" s="637"/>
      <c r="F51" s="650"/>
      <c r="G51" s="651"/>
      <c r="H51" s="651"/>
      <c r="I51" s="652"/>
      <c r="J51" s="661"/>
      <c r="L51" s="650">
        <f t="shared" si="2"/>
        <v>0</v>
      </c>
      <c r="Q51" s="633">
        <f t="shared" si="1"/>
        <v>0</v>
      </c>
      <c r="R51" s="639">
        <f t="shared" si="3"/>
        <v>0</v>
      </c>
      <c r="S51" s="674"/>
    </row>
    <row r="52" spans="1:19" ht="12.75">
      <c r="A52" t="s">
        <v>159</v>
      </c>
      <c r="B52" s="639" t="s">
        <v>466</v>
      </c>
      <c r="C52" s="636">
        <f>4337.84+1156.22</f>
        <v>5494.06</v>
      </c>
      <c r="D52" s="637">
        <f>+'[1]TB03-31-04(Final)'!Z911</f>
        <v>4994.889999999999</v>
      </c>
      <c r="E52" s="637">
        <f>+'[1]TB03-31-04(Final)'!Z912-D52</f>
        <v>35138.3</v>
      </c>
      <c r="F52" s="650">
        <f>SUM(D52:E52)</f>
        <v>40133.19</v>
      </c>
      <c r="G52" s="651"/>
      <c r="H52" s="651"/>
      <c r="I52" s="652"/>
      <c r="J52" s="661">
        <f>3829.73+1090.47</f>
        <v>4920.2</v>
      </c>
      <c r="K52" s="659">
        <f>SUM('[6]TB09-30-02(Final)'!$E$814:$E$823)-J52</f>
        <v>42403.07000000001</v>
      </c>
      <c r="L52" s="650">
        <f t="shared" si="2"/>
        <v>47323.270000000004</v>
      </c>
      <c r="Q52" s="633">
        <f t="shared" si="1"/>
        <v>94646.54000000001</v>
      </c>
      <c r="R52" s="639">
        <f t="shared" si="3"/>
        <v>-7190.080000000002</v>
      </c>
      <c r="S52" s="674">
        <f>R52/L52</f>
        <v>-0.15193540091375768</v>
      </c>
    </row>
    <row r="53" spans="2:19" ht="12.75">
      <c r="B53" s="639"/>
      <c r="C53" s="636"/>
      <c r="D53" s="637"/>
      <c r="E53" s="637"/>
      <c r="F53" s="650"/>
      <c r="G53" s="651"/>
      <c r="H53" s="651"/>
      <c r="I53" s="652"/>
      <c r="J53" s="661"/>
      <c r="L53" s="650">
        <f t="shared" si="2"/>
        <v>0</v>
      </c>
      <c r="Q53" s="633">
        <f t="shared" si="1"/>
        <v>0</v>
      </c>
      <c r="R53" s="639">
        <f t="shared" si="3"/>
        <v>0</v>
      </c>
      <c r="S53" s="674"/>
    </row>
    <row r="54" spans="1:20" ht="12.75">
      <c r="A54" t="s">
        <v>397</v>
      </c>
      <c r="B54" s="639" t="s">
        <v>320</v>
      </c>
      <c r="C54" s="636">
        <v>767.76</v>
      </c>
      <c r="D54" s="637">
        <f>+'[1]TB03-31-04(Final)'!Z781</f>
        <v>399.46</v>
      </c>
      <c r="E54" s="637">
        <f>+'[1]TB03-31-04(Final)'!Z784-D54</f>
        <v>17859.89</v>
      </c>
      <c r="F54" s="650">
        <f>SUM(D54:E54)</f>
        <v>18259.35</v>
      </c>
      <c r="G54" s="651"/>
      <c r="H54" s="651"/>
      <c r="I54" s="652"/>
      <c r="J54" s="661">
        <f>936.75+468.71+149.88</f>
        <v>1555.3400000000001</v>
      </c>
      <c r="K54" s="659">
        <f>SUM('[6]TB09-30-02(Final)'!$E$686:$E$703)-J54</f>
        <v>10897.34</v>
      </c>
      <c r="L54" s="650">
        <f t="shared" si="2"/>
        <v>12452.68</v>
      </c>
      <c r="Q54" s="633">
        <f t="shared" si="1"/>
        <v>24905.36</v>
      </c>
      <c r="R54" s="639">
        <f t="shared" si="3"/>
        <v>5806.669999999998</v>
      </c>
      <c r="S54" s="674">
        <f>R54/L54</f>
        <v>0.4662988208160812</v>
      </c>
      <c r="T54" t="s">
        <v>422</v>
      </c>
    </row>
    <row r="55" spans="2:19" ht="12.75">
      <c r="B55" s="623"/>
      <c r="C55" s="636"/>
      <c r="D55" s="624"/>
      <c r="E55" s="624"/>
      <c r="G55" s="624"/>
      <c r="H55" s="624"/>
      <c r="I55" s="352"/>
      <c r="R55" s="660"/>
      <c r="S55" s="679"/>
    </row>
    <row r="56" spans="2:19" ht="12.75">
      <c r="B56" s="623"/>
      <c r="C56" s="636"/>
      <c r="D56" s="624"/>
      <c r="E56" s="624"/>
      <c r="F56" s="632"/>
      <c r="G56" s="628"/>
      <c r="H56" s="628"/>
      <c r="I56" s="656"/>
      <c r="J56" s="686"/>
      <c r="K56" s="662"/>
      <c r="L56" s="719"/>
      <c r="M56" s="658"/>
      <c r="N56" s="658"/>
      <c r="O56" s="658"/>
      <c r="P56" s="658"/>
      <c r="Q56" s="658"/>
      <c r="R56" s="719"/>
      <c r="S56" s="680"/>
    </row>
    <row r="57" spans="2:19" ht="12.75">
      <c r="B57" s="58" t="s">
        <v>416</v>
      </c>
      <c r="C57" s="629"/>
      <c r="D57" s="628"/>
      <c r="E57" s="628"/>
      <c r="F57" s="671">
        <f>SUM(F15:F56)</f>
        <v>1672692.2500000002</v>
      </c>
      <c r="G57" s="717"/>
      <c r="H57" s="717"/>
      <c r="I57" s="717"/>
      <c r="J57" s="663"/>
      <c r="K57" s="718"/>
      <c r="L57" s="671">
        <f>SUM(L15:L56)</f>
        <v>1357795.3799999997</v>
      </c>
      <c r="M57" s="717"/>
      <c r="N57" s="717"/>
      <c r="O57" s="717"/>
      <c r="P57" s="717"/>
      <c r="Q57" s="717"/>
      <c r="R57" s="671">
        <f>+F57-L57</f>
        <v>314896.8700000006</v>
      </c>
      <c r="S57" s="674">
        <f>R57/L57</f>
        <v>0.23191776510537299</v>
      </c>
    </row>
    <row r="58" spans="1:19" s="621" customFormat="1" ht="12.75">
      <c r="A58" s="709" t="s">
        <v>398</v>
      </c>
      <c r="B58" s="710" t="s">
        <v>408</v>
      </c>
      <c r="C58" s="711">
        <f>SUM(C25:C57)</f>
        <v>108411.12999999999</v>
      </c>
      <c r="D58" s="711">
        <f>SUM(D11:D57)-1</f>
        <v>4566841.06</v>
      </c>
      <c r="E58" s="711">
        <f>SUM(E11:E54)</f>
        <v>1544594.02</v>
      </c>
      <c r="F58" s="711">
        <f>SUM(F11:F55)</f>
        <v>6111436.079999999</v>
      </c>
      <c r="G58" s="712"/>
      <c r="H58" s="712"/>
      <c r="I58" s="713"/>
      <c r="J58" s="714">
        <f>SUM(J11:J57)</f>
        <v>4077227.4899999998</v>
      </c>
      <c r="K58" s="715">
        <f>SUM(K10:K57)</f>
        <v>1257968.2800000003</v>
      </c>
      <c r="L58" s="711">
        <f>SUM(L10:L55)</f>
        <v>5335195.77</v>
      </c>
      <c r="M58" s="709"/>
      <c r="N58" s="709"/>
      <c r="O58" s="709"/>
      <c r="P58" s="709"/>
      <c r="Q58" s="709"/>
      <c r="R58" s="711">
        <f>+F58-L58</f>
        <v>776240.3099999996</v>
      </c>
      <c r="S58" s="716">
        <f>R58/L58</f>
        <v>0.14549425053244103</v>
      </c>
    </row>
    <row r="59" spans="1:20" ht="12.75">
      <c r="A59" t="s">
        <v>399</v>
      </c>
      <c r="B59" s="639" t="s">
        <v>467</v>
      </c>
      <c r="C59" s="637"/>
      <c r="D59" s="650"/>
      <c r="E59" s="650">
        <f>+'[1]TB03-31-04(Final)'!E644</f>
        <v>22313.94</v>
      </c>
      <c r="F59" s="650">
        <f>SUM(D59:E59)</f>
        <v>22313.94</v>
      </c>
      <c r="G59" s="651"/>
      <c r="H59" s="651"/>
      <c r="I59" s="652"/>
      <c r="K59" s="659">
        <f>SUM('[6]TB09-30-02(Final)'!$E$562)-J59</f>
        <v>11580</v>
      </c>
      <c r="L59" s="650">
        <f>SUM(J59:K59)</f>
        <v>11580</v>
      </c>
      <c r="R59" s="639">
        <f t="shared" si="3"/>
        <v>10733.939999999999</v>
      </c>
      <c r="S59" s="674">
        <f>R59/L59</f>
        <v>0.9269378238341968</v>
      </c>
      <c r="T59" t="s">
        <v>419</v>
      </c>
    </row>
    <row r="60" spans="2:19" ht="12.75">
      <c r="B60" s="622"/>
      <c r="C60" s="637"/>
      <c r="D60" s="651"/>
      <c r="E60" s="651"/>
      <c r="F60" s="653"/>
      <c r="G60" s="651"/>
      <c r="H60" s="651"/>
      <c r="I60" s="652"/>
      <c r="J60" s="659" t="s">
        <v>384</v>
      </c>
      <c r="L60" s="681"/>
      <c r="R60" s="630">
        <f t="shared" si="3"/>
        <v>0</v>
      </c>
      <c r="S60" s="677"/>
    </row>
    <row r="61" spans="1:19" ht="12.75">
      <c r="A61" t="s">
        <v>400</v>
      </c>
      <c r="B61" s="58" t="s">
        <v>468</v>
      </c>
      <c r="C61" s="640"/>
      <c r="D61" s="651"/>
      <c r="E61" s="651"/>
      <c r="F61" s="681"/>
      <c r="G61" s="682"/>
      <c r="H61" s="682"/>
      <c r="I61" s="683"/>
      <c r="L61" s="681"/>
      <c r="R61" s="630">
        <f t="shared" si="3"/>
        <v>0</v>
      </c>
      <c r="S61" s="677"/>
    </row>
    <row r="62" spans="2:19" ht="12.75">
      <c r="B62" s="637" t="s">
        <v>3</v>
      </c>
      <c r="C62" s="637"/>
      <c r="D62" s="652">
        <f>+'[1]TB03-31-04(Final)'!Z790</f>
        <v>289.58</v>
      </c>
      <c r="E62" s="653">
        <v>0</v>
      </c>
      <c r="F62" s="681">
        <f>SUM(D62:E62)</f>
        <v>289.58</v>
      </c>
      <c r="G62" s="682"/>
      <c r="H62" s="682"/>
      <c r="I62" s="683"/>
      <c r="L62" s="681"/>
      <c r="R62" s="630">
        <f t="shared" si="3"/>
        <v>289.58</v>
      </c>
      <c r="S62" s="677"/>
    </row>
    <row r="63" spans="2:19" ht="12.75">
      <c r="B63" s="637" t="s">
        <v>4</v>
      </c>
      <c r="C63" s="637"/>
      <c r="D63" s="652" t="e">
        <f>+'[1]TB03-31-04(Final)'!D991</f>
        <v>#REF!</v>
      </c>
      <c r="E63" s="652">
        <f>+'[1]TB03-31-04(Final)'!E994</f>
        <v>0</v>
      </c>
      <c r="F63" s="681" t="e">
        <f>SUM(D63:E63)</f>
        <v>#REF!</v>
      </c>
      <c r="G63" s="682"/>
      <c r="H63" s="682"/>
      <c r="I63" s="683"/>
      <c r="L63" s="681"/>
      <c r="R63" s="630" t="e">
        <f t="shared" si="3"/>
        <v>#REF!</v>
      </c>
      <c r="S63" s="677"/>
    </row>
    <row r="64" spans="2:20" ht="12.75">
      <c r="B64" s="637" t="s">
        <v>9</v>
      </c>
      <c r="C64" s="638">
        <f>209.55+403.86+1554.27</f>
        <v>2167.6800000000003</v>
      </c>
      <c r="D64" s="650">
        <f>+'[1]TB03-31-04(Final)'!Z830</f>
        <v>6929.51</v>
      </c>
      <c r="E64" s="650">
        <f>+'[1]TB03-31-04(Final)'!Z831-D64</f>
        <v>20592.989999999998</v>
      </c>
      <c r="F64" s="650">
        <f>SUM(D64:E64)</f>
        <v>27522.5</v>
      </c>
      <c r="G64" s="651"/>
      <c r="H64" s="651"/>
      <c r="I64" s="652"/>
      <c r="J64" s="659">
        <f>-475.32+120-425.35</f>
        <v>-780.6700000000001</v>
      </c>
      <c r="K64" s="659">
        <f>SUM('[6]TB09-30-02(Final)'!$E$710:$E$741)-J64</f>
        <v>1693.6599999999994</v>
      </c>
      <c r="L64" s="650">
        <f>SUM(J64:K64)</f>
        <v>912.9899999999993</v>
      </c>
      <c r="R64" s="639">
        <f t="shared" si="3"/>
        <v>26609.510000000002</v>
      </c>
      <c r="S64" s="674">
        <f>R64/L64</f>
        <v>29.145456138621476</v>
      </c>
      <c r="T64" t="s">
        <v>418</v>
      </c>
    </row>
    <row r="65" spans="2:19" ht="12.75">
      <c r="B65" s="637" t="s">
        <v>55</v>
      </c>
      <c r="C65" s="641">
        <f>712.12-2.22-102</f>
        <v>607.9</v>
      </c>
      <c r="D65" s="654">
        <f>+'[1]TB03-31-04(Final)'!Z1001-102</f>
        <v>700.17</v>
      </c>
      <c r="E65" s="654">
        <f>+'[1]TB03-31-04(Final)'!Z1003+102</f>
        <v>13523.92</v>
      </c>
      <c r="F65" s="654">
        <f>SUM(D65:E65)</f>
        <v>14224.09</v>
      </c>
      <c r="G65" s="651"/>
      <c r="H65" s="651"/>
      <c r="I65" s="652"/>
      <c r="J65" s="662">
        <f>913.62+176.46+56.22</f>
        <v>1146.3</v>
      </c>
      <c r="K65" s="662">
        <f>(7314.87-2304.97)-J65</f>
        <v>3863.5999999999995</v>
      </c>
      <c r="L65" s="654">
        <f>SUM(J65:K65)</f>
        <v>5009.9</v>
      </c>
      <c r="R65" s="646">
        <f t="shared" si="3"/>
        <v>9214.19</v>
      </c>
      <c r="S65" s="678">
        <f>R65/L65</f>
        <v>1.839196391145532</v>
      </c>
    </row>
    <row r="66" spans="2:19" ht="13.5" thickBot="1">
      <c r="B66" s="58" t="s">
        <v>413</v>
      </c>
      <c r="C66" s="695"/>
      <c r="D66" s="639"/>
      <c r="E66" s="639"/>
      <c r="F66" s="696">
        <f>+F57+F59+F64+F65</f>
        <v>1736752.7800000003</v>
      </c>
      <c r="G66" s="697"/>
      <c r="H66" s="697"/>
      <c r="I66" s="698"/>
      <c r="J66" s="699"/>
      <c r="K66" s="699"/>
      <c r="L66" s="696">
        <f>+L57+L59+L64+L65</f>
        <v>1375298.2699999996</v>
      </c>
      <c r="M66" s="688"/>
      <c r="N66" s="688"/>
      <c r="O66" s="688"/>
      <c r="P66" s="688"/>
      <c r="Q66" s="688"/>
      <c r="R66" s="689"/>
      <c r="S66" s="690"/>
    </row>
    <row r="67" spans="2:19" ht="13.5" thickTop="1">
      <c r="B67" s="73" t="s">
        <v>415</v>
      </c>
      <c r="C67" s="657"/>
      <c r="D67" s="650"/>
      <c r="E67" s="650"/>
      <c r="F67" s="650">
        <v>-111187.2</v>
      </c>
      <c r="G67" s="691"/>
      <c r="H67" s="691"/>
      <c r="I67" s="692"/>
      <c r="J67" s="664"/>
      <c r="K67" s="664"/>
      <c r="L67" s="650">
        <v>-100193</v>
      </c>
      <c r="M67" s="693"/>
      <c r="N67" s="693"/>
      <c r="O67" s="693"/>
      <c r="P67" s="693"/>
      <c r="Q67" s="693"/>
      <c r="R67" s="669"/>
      <c r="S67" s="694"/>
    </row>
    <row r="68" spans="2:19" s="700" customFormat="1" ht="13.5" thickBot="1">
      <c r="B68" s="58" t="s">
        <v>414</v>
      </c>
      <c r="C68" s="695"/>
      <c r="D68" s="639"/>
      <c r="E68" s="639"/>
      <c r="F68" s="705">
        <f>+F66+F67</f>
        <v>1625565.5800000003</v>
      </c>
      <c r="G68" s="706"/>
      <c r="H68" s="706"/>
      <c r="I68" s="706"/>
      <c r="J68" s="707"/>
      <c r="K68" s="707"/>
      <c r="L68" s="705">
        <f>+L66+L67</f>
        <v>1275105.2699999996</v>
      </c>
      <c r="M68" s="701"/>
      <c r="N68" s="701"/>
      <c r="O68" s="701"/>
      <c r="P68" s="701"/>
      <c r="Q68" s="701"/>
      <c r="R68" s="705">
        <f>+F68-L68</f>
        <v>350460.31000000075</v>
      </c>
      <c r="S68" s="708">
        <f>R68/L68</f>
        <v>0.2748481386168225</v>
      </c>
    </row>
    <row r="69" spans="2:19" s="700" customFormat="1" ht="12.75">
      <c r="B69" s="58"/>
      <c r="C69" s="695"/>
      <c r="D69" s="639"/>
      <c r="E69" s="639"/>
      <c r="F69" s="702"/>
      <c r="G69" s="703"/>
      <c r="H69" s="703"/>
      <c r="I69" s="703"/>
      <c r="J69" s="704"/>
      <c r="K69" s="704"/>
      <c r="L69" s="702"/>
      <c r="M69" s="701"/>
      <c r="N69" s="701"/>
      <c r="O69" s="701"/>
      <c r="P69" s="701"/>
      <c r="Q69" s="701"/>
      <c r="R69" s="669"/>
      <c r="S69" s="694"/>
    </row>
    <row r="70" spans="1:19" s="621" customFormat="1" ht="12.75">
      <c r="A70" s="621" t="s">
        <v>401</v>
      </c>
      <c r="B70" s="58" t="s">
        <v>5</v>
      </c>
      <c r="C70" s="639">
        <f>+C58+C64+C65</f>
        <v>111186.70999999999</v>
      </c>
      <c r="D70" s="627" t="e">
        <f>SUM(D58:D65)+1</f>
        <v>#REF!</v>
      </c>
      <c r="E70" s="627">
        <f>SUM(E58:E65)</f>
        <v>1601024.8699999999</v>
      </c>
      <c r="F70" s="627" t="e">
        <f>SUM(F58:F65)</f>
        <v>#REF!</v>
      </c>
      <c r="G70" s="625"/>
      <c r="H70" s="625"/>
      <c r="I70" s="655"/>
      <c r="J70" s="665">
        <f>SUM(J58:J65)</f>
        <v>4077593.1199999996</v>
      </c>
      <c r="K70" s="663">
        <f>SUM(K58:K65)</f>
        <v>1275105.5400000003</v>
      </c>
      <c r="L70" s="627">
        <f>SUM(L58:L65)</f>
        <v>5352698.66</v>
      </c>
      <c r="S70" s="676"/>
    </row>
    <row r="71" spans="2:18" ht="12.75">
      <c r="B71" s="645" t="s">
        <v>322</v>
      </c>
      <c r="C71" s="356">
        <v>111187</v>
      </c>
      <c r="D71" s="646">
        <v>3400757</v>
      </c>
      <c r="E71" s="646">
        <v>1600894</v>
      </c>
      <c r="F71" s="646">
        <v>5001652</v>
      </c>
      <c r="G71" s="628"/>
      <c r="H71" s="628"/>
      <c r="I71" s="656"/>
      <c r="J71" s="664">
        <v>4077593</v>
      </c>
      <c r="K71" s="659">
        <f>1263526+11580</f>
        <v>1275106</v>
      </c>
      <c r="L71" s="646">
        <f>SUM(J71:K71)</f>
        <v>5352699</v>
      </c>
      <c r="R71" s="672"/>
    </row>
    <row r="72" spans="2:19" ht="13.5" thickBot="1">
      <c r="B72" s="687" t="s">
        <v>324</v>
      </c>
      <c r="C72" s="356">
        <f>+C70-C71</f>
        <v>-0.2900000000081491</v>
      </c>
      <c r="D72" s="647" t="e">
        <f>+D70-D71</f>
        <v>#REF!</v>
      </c>
      <c r="E72" s="647">
        <f>+E70-E71</f>
        <v>130.86999999987893</v>
      </c>
      <c r="F72" s="647" t="e">
        <f>+F70-F71</f>
        <v>#REF!</v>
      </c>
      <c r="G72" s="624"/>
      <c r="H72" s="624"/>
      <c r="I72" s="624"/>
      <c r="J72" s="666">
        <f>+J70-J71</f>
        <v>0.11999999964609742</v>
      </c>
      <c r="K72" s="666">
        <f>+K70-K71</f>
        <v>-0.45999999972991645</v>
      </c>
      <c r="L72" s="647">
        <f>+L70-L71</f>
        <v>-0.3399999998509884</v>
      </c>
      <c r="R72" s="673"/>
      <c r="S72" s="684"/>
    </row>
    <row r="73" spans="1:18" ht="13.5" thickTop="1">
      <c r="A73" t="s">
        <v>402</v>
      </c>
      <c r="B73" s="639" t="s">
        <v>6</v>
      </c>
      <c r="D73" s="639">
        <v>0</v>
      </c>
      <c r="E73" s="639">
        <v>305438</v>
      </c>
      <c r="F73" s="639">
        <f>SUM(D73:E73)</f>
        <v>305438</v>
      </c>
      <c r="G73" s="624"/>
      <c r="H73" s="624"/>
      <c r="I73" s="624"/>
      <c r="K73" s="659">
        <v>287179</v>
      </c>
      <c r="L73" s="639">
        <f>SUM(J73:K73)</f>
        <v>287179</v>
      </c>
      <c r="R73" s="621"/>
    </row>
    <row r="74" spans="1:18" ht="12.75">
      <c r="A74" t="s">
        <v>403</v>
      </c>
      <c r="B74" s="639" t="s">
        <v>321</v>
      </c>
      <c r="C74" s="629"/>
      <c r="D74" s="646">
        <v>0</v>
      </c>
      <c r="E74" s="646">
        <v>309881</v>
      </c>
      <c r="F74" s="646">
        <f>SUM(D74:E74)</f>
        <v>309881</v>
      </c>
      <c r="G74" s="624"/>
      <c r="H74" s="624"/>
      <c r="I74" s="624"/>
      <c r="J74" s="662"/>
      <c r="K74" s="659">
        <v>453634</v>
      </c>
      <c r="L74" s="646">
        <f>SUM(J74:K74)</f>
        <v>453634</v>
      </c>
      <c r="R74" s="621"/>
    </row>
    <row r="75" spans="2:19" ht="12.75">
      <c r="B75" s="639" t="s">
        <v>323</v>
      </c>
      <c r="D75" s="352">
        <f>+D73-D74</f>
        <v>0</v>
      </c>
      <c r="E75" s="639">
        <f>-E73+E74</f>
        <v>4443</v>
      </c>
      <c r="F75" s="639">
        <f>-F73+F74</f>
        <v>4443</v>
      </c>
      <c r="G75" s="624"/>
      <c r="H75" s="624"/>
      <c r="I75" s="624"/>
      <c r="J75" s="659">
        <f>SUM(J73:J74)</f>
        <v>0</v>
      </c>
      <c r="K75" s="667">
        <f>-K73+K74</f>
        <v>166455</v>
      </c>
      <c r="L75" s="639">
        <f>SUM(J75:K75)</f>
        <v>166455</v>
      </c>
      <c r="R75" s="668"/>
      <c r="S75" s="685"/>
    </row>
    <row r="76" spans="1:19" ht="13.5" thickBot="1">
      <c r="A76" t="s">
        <v>404</v>
      </c>
      <c r="B76" s="58" t="s">
        <v>7</v>
      </c>
      <c r="C76" s="635">
        <f>+C70-C73+C74</f>
        <v>111186.70999999999</v>
      </c>
      <c r="D76" s="635" t="e">
        <f>+D70-D73+D74</f>
        <v>#REF!</v>
      </c>
      <c r="E76" s="635">
        <f>+E70-E73+E74</f>
        <v>1605467.8699999999</v>
      </c>
      <c r="F76" s="724">
        <f>+F71+F75</f>
        <v>5006095</v>
      </c>
      <c r="G76" s="725"/>
      <c r="H76" s="725"/>
      <c r="I76" s="725"/>
      <c r="J76" s="726">
        <f>+J70-J73+J74</f>
        <v>4077593.1199999996</v>
      </c>
      <c r="K76" s="726">
        <f>+K70-K73+K74</f>
        <v>1441560.5400000003</v>
      </c>
      <c r="L76" s="724">
        <f>+L70-L73+L74</f>
        <v>5519153.66</v>
      </c>
      <c r="R76" s="673"/>
      <c r="S76" s="684"/>
    </row>
    <row r="77" spans="2:18" ht="13.5" thickTop="1">
      <c r="B77" s="645"/>
      <c r="E77" s="624">
        <v>1600894</v>
      </c>
      <c r="F77" s="630" t="e">
        <f>+F70-F73+F74</f>
        <v>#REF!</v>
      </c>
      <c r="J77" s="661"/>
      <c r="K77" s="659">
        <v>1263526</v>
      </c>
      <c r="L77" s="630">
        <f>+L70-L73+L74</f>
        <v>5519153.66</v>
      </c>
      <c r="R77" s="621"/>
    </row>
    <row r="78" spans="5:12" ht="12.75">
      <c r="E78" s="649">
        <f>+E76-E77</f>
        <v>4573.869999999879</v>
      </c>
      <c r="L78" s="630"/>
    </row>
    <row r="79" spans="2:11" ht="12.75">
      <c r="B79" s="645"/>
      <c r="E79" s="352"/>
      <c r="K79" s="659">
        <f>+K75-K78</f>
        <v>166455</v>
      </c>
    </row>
    <row r="80" ht="12.75">
      <c r="E80" s="649"/>
    </row>
    <row r="81" ht="12.75">
      <c r="E81" s="352"/>
    </row>
    <row r="82" spans="2:5" ht="12.75">
      <c r="B82" s="645"/>
      <c r="E82" s="649"/>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8"/>
  <sheetViews>
    <sheetView tabSelected="1" zoomScale="75" zoomScaleNormal="75" workbookViewId="0" topLeftCell="A1">
      <selection activeCell="J31" sqref="J31"/>
    </sheetView>
  </sheetViews>
  <sheetFormatPr defaultColWidth="9.140625" defaultRowHeight="15" customHeight="1"/>
  <cols>
    <col min="1" max="1" width="52.57421875" style="14" customWidth="1"/>
    <col min="2" max="4" width="15.7109375" style="460" customWidth="1"/>
    <col min="5" max="5" width="20.57421875" style="460" bestFit="1" customWidth="1"/>
    <col min="6" max="16384" width="15.7109375" style="14" customWidth="1"/>
  </cols>
  <sheetData>
    <row r="1" spans="1:5" s="11" customFormat="1" ht="30" customHeight="1">
      <c r="A1" s="970" t="s">
        <v>77</v>
      </c>
      <c r="B1" s="970"/>
      <c r="C1" s="970"/>
      <c r="D1" s="970"/>
      <c r="E1" s="970"/>
    </row>
    <row r="2" spans="1:5" s="11" customFormat="1" ht="15" customHeight="1">
      <c r="A2" s="992"/>
      <c r="B2" s="992"/>
      <c r="C2" s="992"/>
      <c r="D2" s="992"/>
      <c r="E2" s="992"/>
    </row>
    <row r="3" spans="1:5" s="94" customFormat="1" ht="15" customHeight="1">
      <c r="A3" s="971" t="s">
        <v>32</v>
      </c>
      <c r="B3" s="971"/>
      <c r="C3" s="971"/>
      <c r="D3" s="971"/>
      <c r="E3" s="971"/>
    </row>
    <row r="4" spans="1:5" s="94" customFormat="1" ht="15" customHeight="1">
      <c r="A4" s="972" t="s">
        <v>473</v>
      </c>
      <c r="B4" s="972"/>
      <c r="C4" s="972"/>
      <c r="D4" s="972"/>
      <c r="E4" s="972"/>
    </row>
    <row r="5" spans="1:5" s="12" customFormat="1" ht="15" customHeight="1">
      <c r="A5" s="744"/>
      <c r="B5" s="744"/>
      <c r="C5" s="744"/>
      <c r="D5" s="744"/>
      <c r="E5" s="744"/>
    </row>
    <row r="6" spans="1:5" s="792" customFormat="1" ht="45" customHeight="1">
      <c r="A6" s="940"/>
      <c r="B6" s="941" t="s">
        <v>33</v>
      </c>
      <c r="C6" s="941" t="s">
        <v>34</v>
      </c>
      <c r="D6" s="941" t="s">
        <v>35</v>
      </c>
      <c r="E6" s="941" t="s">
        <v>36</v>
      </c>
    </row>
    <row r="7" spans="1:5" s="792" customFormat="1" ht="15" customHeight="1">
      <c r="A7" s="942" t="s">
        <v>79</v>
      </c>
      <c r="B7" s="943"/>
      <c r="C7" s="943"/>
      <c r="D7" s="943"/>
      <c r="E7" s="943"/>
    </row>
    <row r="8" spans="1:5" s="792" customFormat="1" ht="15" customHeight="1">
      <c r="A8" s="944" t="s">
        <v>291</v>
      </c>
      <c r="B8" s="947">
        <f>'[11]1Q07 TB (ROUNDED)'!D17+'[11]1Q07 TB (ROUNDED)'!D21</f>
        <v>18270510</v>
      </c>
      <c r="C8" s="946">
        <v>0</v>
      </c>
      <c r="D8" s="946">
        <v>0</v>
      </c>
      <c r="E8" s="947">
        <f>SUM(B8:D8)</f>
        <v>18270510</v>
      </c>
    </row>
    <row r="9" spans="1:5" s="792" customFormat="1" ht="15" customHeight="1">
      <c r="A9" s="944" t="s">
        <v>80</v>
      </c>
      <c r="B9" s="945">
        <v>0</v>
      </c>
      <c r="C9" s="945">
        <f>'Equity QTD-3'!$B$32</f>
        <v>120014</v>
      </c>
      <c r="D9" s="945">
        <v>0</v>
      </c>
      <c r="E9" s="945">
        <f>SUM(B9:D9)</f>
        <v>120014</v>
      </c>
    </row>
    <row r="10" spans="1:5" s="792" customFormat="1" ht="15" customHeight="1">
      <c r="A10" s="944" t="s">
        <v>81</v>
      </c>
      <c r="B10" s="945">
        <f>477744-361454</f>
        <v>116290</v>
      </c>
      <c r="C10" s="945">
        <v>0</v>
      </c>
      <c r="D10" s="945">
        <f>B10</f>
        <v>116290</v>
      </c>
      <c r="E10" s="945">
        <f>+B10-D10</f>
        <v>0</v>
      </c>
    </row>
    <row r="11" spans="1:5" s="792" customFormat="1" ht="15" customHeight="1">
      <c r="A11" s="944" t="s">
        <v>292</v>
      </c>
      <c r="B11" s="945">
        <f>79747-48033+77952-1666+926296-138468+133086-2218</f>
        <v>1026696</v>
      </c>
      <c r="C11" s="945">
        <v>0</v>
      </c>
      <c r="D11" s="945">
        <f>926296-138468+133086-2218</f>
        <v>918696</v>
      </c>
      <c r="E11" s="945">
        <f>B11-D11</f>
        <v>108000</v>
      </c>
    </row>
    <row r="12" spans="1:5" s="792" customFormat="1" ht="15" customHeight="1">
      <c r="A12" s="944" t="s">
        <v>84</v>
      </c>
      <c r="B12" s="945">
        <f>77363-51783</f>
        <v>25580</v>
      </c>
      <c r="C12" s="945">
        <v>0</v>
      </c>
      <c r="D12" s="945">
        <f>B12</f>
        <v>25580</v>
      </c>
      <c r="E12" s="945">
        <f>+B12-D12</f>
        <v>0</v>
      </c>
    </row>
    <row r="13" spans="1:6" s="792" customFormat="1" ht="15" customHeight="1">
      <c r="A13" s="944" t="s">
        <v>290</v>
      </c>
      <c r="B13" s="945">
        <f>'[11]1Q07 TB (ROUNDED)'!$D$28</f>
        <v>67834</v>
      </c>
      <c r="C13" s="945">
        <v>0</v>
      </c>
      <c r="D13" s="945">
        <v>0</v>
      </c>
      <c r="E13" s="945">
        <f>+B13-C13-D13</f>
        <v>67834</v>
      </c>
      <c r="F13" s="948"/>
    </row>
    <row r="14" spans="1:5" s="792" customFormat="1" ht="15" customHeight="1">
      <c r="A14" s="949" t="s">
        <v>85</v>
      </c>
      <c r="B14" s="950">
        <f>SUM(B8:B13)</f>
        <v>19506910</v>
      </c>
      <c r="C14" s="950">
        <f>SUM(C8:C13)</f>
        <v>120014</v>
      </c>
      <c r="D14" s="950">
        <f>SUM(D8:D13)</f>
        <v>1060566</v>
      </c>
      <c r="E14" s="950">
        <f>SUM(E8:E13)</f>
        <v>18566358</v>
      </c>
    </row>
    <row r="15" spans="1:5" s="792" customFormat="1" ht="15" customHeight="1">
      <c r="A15" s="951"/>
      <c r="B15" s="829"/>
      <c r="C15" s="829"/>
      <c r="D15" s="829"/>
      <c r="E15" s="829"/>
    </row>
    <row r="16" spans="1:5" s="792" customFormat="1" ht="15" customHeight="1">
      <c r="A16" s="952" t="s">
        <v>86</v>
      </c>
      <c r="B16" s="829"/>
      <c r="C16" s="829"/>
      <c r="D16" s="829"/>
      <c r="E16" s="829"/>
    </row>
    <row r="17" spans="1:5" s="792" customFormat="1" ht="15" customHeight="1">
      <c r="A17" s="951" t="s">
        <v>87</v>
      </c>
      <c r="B17" s="829"/>
      <c r="C17" s="829"/>
      <c r="D17" s="829" t="s">
        <v>87</v>
      </c>
      <c r="E17" s="829"/>
    </row>
    <row r="18" spans="1:5" s="792" customFormat="1" ht="15" customHeight="1">
      <c r="A18" s="953" t="s">
        <v>264</v>
      </c>
      <c r="B18" s="829"/>
      <c r="C18" s="881"/>
      <c r="D18" s="340">
        <f>-'[11]1Q07 TB (ROUNDED)'!$D$200</f>
        <v>1993932</v>
      </c>
      <c r="E18" s="829"/>
    </row>
    <row r="19" spans="1:5" s="792" customFormat="1" ht="15" customHeight="1">
      <c r="A19" s="953" t="s">
        <v>265</v>
      </c>
      <c r="B19" s="829"/>
      <c r="C19" s="881"/>
      <c r="D19" s="340">
        <f>-'[11]1Q07 TB (ROUNDED)'!$D$203</f>
        <v>271962</v>
      </c>
      <c r="E19" s="829"/>
    </row>
    <row r="20" spans="1:5" s="792" customFormat="1" ht="15" customHeight="1">
      <c r="A20" s="953" t="s">
        <v>365</v>
      </c>
      <c r="B20" s="829"/>
      <c r="C20" s="881"/>
      <c r="D20" s="340">
        <f>-'[11]1Q07 TB (ROUNDED)'!$D$197</f>
        <v>189564</v>
      </c>
      <c r="E20" s="829"/>
    </row>
    <row r="21" spans="1:5" s="792" customFormat="1" ht="15" customHeight="1">
      <c r="A21" s="953" t="s">
        <v>310</v>
      </c>
      <c r="B21" s="829"/>
      <c r="C21" s="881"/>
      <c r="D21" s="340">
        <f>-'[11]1Q07 TB (ROUNDED)'!$D$206</f>
        <v>444602</v>
      </c>
      <c r="E21" s="829"/>
    </row>
    <row r="22" spans="1:5" s="792" customFormat="1" ht="15" customHeight="1">
      <c r="A22" s="953" t="s">
        <v>370</v>
      </c>
      <c r="B22" s="829"/>
      <c r="C22" s="954"/>
      <c r="D22" s="340">
        <f>-'[11]1Q07 TB (ROUNDED)'!$D$213+1</f>
        <v>325921</v>
      </c>
      <c r="E22" s="829"/>
    </row>
    <row r="23" spans="1:5" s="792" customFormat="1" ht="15" customHeight="1">
      <c r="A23" s="953" t="s">
        <v>275</v>
      </c>
      <c r="B23" s="829"/>
      <c r="C23" s="954"/>
      <c r="D23" s="340">
        <f>-'[11]1Q07 TB (ROUNDED)'!$D$158</f>
        <v>337222</v>
      </c>
      <c r="E23" s="340"/>
    </row>
    <row r="24" spans="1:5" s="792" customFormat="1" ht="15" customHeight="1">
      <c r="A24" s="953" t="s">
        <v>371</v>
      </c>
      <c r="B24" s="829"/>
      <c r="C24" s="881"/>
      <c r="D24" s="955">
        <f>-'[11]1Q07 TB (ROUNDED)'!$D$154</f>
        <v>330</v>
      </c>
      <c r="E24" s="881"/>
    </row>
    <row r="25" spans="1:5" s="792" customFormat="1" ht="15" customHeight="1">
      <c r="A25" s="953"/>
      <c r="B25" s="601"/>
      <c r="C25" s="829"/>
      <c r="D25" s="829"/>
      <c r="E25" s="340"/>
    </row>
    <row r="26" spans="1:5" s="792" customFormat="1" ht="15" customHeight="1">
      <c r="A26" s="949" t="s">
        <v>88</v>
      </c>
      <c r="B26" s="829"/>
      <c r="C26" s="829"/>
      <c r="D26" s="829"/>
      <c r="E26" s="687">
        <f>SUM(D18:D25)</f>
        <v>3563533</v>
      </c>
    </row>
    <row r="27" spans="1:5" s="792" customFormat="1" ht="15" customHeight="1">
      <c r="A27" s="951"/>
      <c r="B27" s="829"/>
      <c r="C27" s="829"/>
      <c r="D27" s="829"/>
      <c r="E27" s="829"/>
    </row>
    <row r="28" spans="1:5" s="792" customFormat="1" ht="15" customHeight="1">
      <c r="A28" s="952" t="s">
        <v>89</v>
      </c>
      <c r="B28" s="829"/>
      <c r="C28" s="829"/>
      <c r="D28" s="829"/>
      <c r="E28" s="829"/>
    </row>
    <row r="29" spans="1:5" s="792" customFormat="1" ht="15" customHeight="1">
      <c r="A29" s="953" t="s">
        <v>90</v>
      </c>
      <c r="B29" s="829"/>
      <c r="C29" s="881"/>
      <c r="D29" s="340">
        <f>'Earned Incurred QTD-4'!$B$13</f>
        <v>9917868</v>
      </c>
      <c r="E29" s="829"/>
    </row>
    <row r="30" spans="1:5" s="792" customFormat="1" ht="15" customHeight="1">
      <c r="A30" s="953" t="s">
        <v>362</v>
      </c>
      <c r="B30" s="829"/>
      <c r="C30" s="881"/>
      <c r="D30" s="340">
        <f>'[11]IBNR Calculation-8'!$D$44</f>
        <v>6119238</v>
      </c>
      <c r="E30" s="829"/>
    </row>
    <row r="31" spans="1:5" s="792" customFormat="1" ht="15" customHeight="1">
      <c r="A31" s="953" t="s">
        <v>361</v>
      </c>
      <c r="B31" s="829"/>
      <c r="C31" s="881"/>
      <c r="D31" s="572">
        <f>'[11]IBNR Calculation-8'!$B$44</f>
        <v>-622846</v>
      </c>
      <c r="E31" s="340"/>
    </row>
    <row r="32" spans="1:5" s="792" customFormat="1" ht="15" customHeight="1">
      <c r="A32" s="953" t="s">
        <v>366</v>
      </c>
      <c r="B32" s="829"/>
      <c r="C32" s="881"/>
      <c r="D32" s="340">
        <f>'[11]ALAE &amp; ULAE Calculation-9'!$G$20</f>
        <v>394870</v>
      </c>
      <c r="E32" s="829"/>
    </row>
    <row r="33" spans="1:5" s="792" customFormat="1" ht="15" customHeight="1">
      <c r="A33" s="953" t="s">
        <v>367</v>
      </c>
      <c r="B33" s="881"/>
      <c r="C33" s="881"/>
      <c r="D33" s="340">
        <f>'[11]ALAE &amp; ULAE Calculation-9'!$G$27</f>
        <v>113265</v>
      </c>
      <c r="E33" s="340"/>
    </row>
    <row r="34" spans="1:5" s="792" customFormat="1" ht="15" customHeight="1">
      <c r="A34" s="953" t="s">
        <v>394</v>
      </c>
      <c r="B34" s="829"/>
      <c r="C34" s="881"/>
      <c r="D34" s="805">
        <f>'Equity QTD-3'!$G$42</f>
        <v>248155</v>
      </c>
      <c r="E34" s="829"/>
    </row>
    <row r="35" spans="1:5" s="792" customFormat="1" ht="15" customHeight="1">
      <c r="A35" s="953" t="s">
        <v>388</v>
      </c>
      <c r="B35" s="829"/>
      <c r="C35" s="829"/>
      <c r="D35" s="955">
        <f>'Equity QTD-3'!$G$43</f>
        <v>42846</v>
      </c>
      <c r="E35" s="829"/>
    </row>
    <row r="36" spans="1:5" s="792" customFormat="1" ht="15" customHeight="1">
      <c r="A36" s="953"/>
      <c r="B36" s="829"/>
      <c r="C36" s="829"/>
      <c r="D36" s="829"/>
      <c r="E36" s="829"/>
    </row>
    <row r="37" spans="1:5" s="792" customFormat="1" ht="15" customHeight="1">
      <c r="A37" s="956" t="s">
        <v>207</v>
      </c>
      <c r="B37" s="829"/>
      <c r="C37" s="829"/>
      <c r="D37" s="881"/>
      <c r="E37" s="687">
        <f>SUM(D29:D35)</f>
        <v>16213396</v>
      </c>
    </row>
    <row r="38" spans="1:5" s="792" customFormat="1" ht="15" customHeight="1">
      <c r="A38" s="956"/>
      <c r="B38" s="829"/>
      <c r="C38" s="829"/>
      <c r="D38" s="881"/>
      <c r="E38" s="957"/>
    </row>
    <row r="39" spans="1:5" s="792" customFormat="1" ht="15" customHeight="1">
      <c r="A39" s="949" t="s">
        <v>92</v>
      </c>
      <c r="B39" s="829"/>
      <c r="C39" s="829"/>
      <c r="D39" s="881"/>
      <c r="E39" s="838">
        <f>E37+E26</f>
        <v>19776929</v>
      </c>
    </row>
    <row r="40" spans="1:5" s="792" customFormat="1" ht="15" customHeight="1">
      <c r="A40" s="951"/>
      <c r="B40" s="829"/>
      <c r="C40" s="829"/>
      <c r="D40" s="881"/>
      <c r="E40" s="829"/>
    </row>
    <row r="41" spans="1:5" s="792" customFormat="1" ht="15" customHeight="1">
      <c r="A41" s="952" t="s">
        <v>93</v>
      </c>
      <c r="B41" s="829"/>
      <c r="C41" s="829"/>
      <c r="D41" s="881"/>
      <c r="E41" s="829"/>
    </row>
    <row r="42" spans="1:7" s="792" customFormat="1" ht="15" customHeight="1">
      <c r="A42" s="953" t="s">
        <v>481</v>
      </c>
      <c r="B42" s="829"/>
      <c r="C42" s="829"/>
      <c r="D42" s="881"/>
      <c r="E42" s="958">
        <f>+E14-E39</f>
        <v>-1210571</v>
      </c>
      <c r="F42" s="335"/>
      <c r="G42" s="948"/>
    </row>
    <row r="43" spans="1:5" s="792" customFormat="1" ht="15" customHeight="1">
      <c r="A43" s="951"/>
      <c r="B43" s="881"/>
      <c r="C43" s="881"/>
      <c r="D43" s="881"/>
      <c r="E43" s="829"/>
    </row>
    <row r="44" spans="1:7" s="792" customFormat="1" ht="15" customHeight="1" thickBot="1">
      <c r="A44" s="956" t="s">
        <v>94</v>
      </c>
      <c r="B44" s="829"/>
      <c r="C44" s="829"/>
      <c r="D44" s="829"/>
      <c r="E44" s="959">
        <f>E39+E42</f>
        <v>18566358</v>
      </c>
      <c r="F44" s="794"/>
      <c r="G44" s="793"/>
    </row>
    <row r="45" spans="1:6" ht="15" customHeight="1" thickTop="1">
      <c r="A45" s="15"/>
      <c r="B45" s="454"/>
      <c r="C45" s="454"/>
      <c r="D45" s="454"/>
      <c r="E45" s="454"/>
      <c r="F45" s="365"/>
    </row>
    <row r="50" spans="2:5" s="766" customFormat="1" ht="15" customHeight="1">
      <c r="B50" s="960"/>
      <c r="C50" s="960"/>
      <c r="D50" s="960"/>
      <c r="E50" s="771"/>
    </row>
    <row r="54" spans="1:5" ht="15" customHeight="1">
      <c r="A54" s="766"/>
      <c r="E54" s="767"/>
    </row>
    <row r="58" spans="1:5" ht="15" customHeight="1">
      <c r="A58" s="766"/>
      <c r="B58" s="770"/>
      <c r="C58" s="770"/>
      <c r="D58" s="770"/>
      <c r="E58" s="771"/>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0" customWidth="1"/>
    <col min="2" max="5" width="15.8515625" style="339" customWidth="1"/>
    <col min="6" max="6" width="16.421875" style="340" customWidth="1"/>
    <col min="7" max="7" width="17.7109375" style="340" customWidth="1"/>
    <col min="8" max="8" width="17.7109375" style="43" customWidth="1"/>
    <col min="9" max="9" width="9.57421875" style="30" customWidth="1"/>
    <col min="10" max="10" width="13.421875" style="30" customWidth="1"/>
    <col min="11" max="16384" width="9.140625" style="30" customWidth="1"/>
  </cols>
  <sheetData>
    <row r="1" spans="1:8" s="241" customFormat="1" ht="25.5">
      <c r="A1" s="973" t="s">
        <v>77</v>
      </c>
      <c r="B1" s="973"/>
      <c r="C1" s="973"/>
      <c r="D1" s="973"/>
      <c r="E1" s="973"/>
      <c r="F1" s="973"/>
      <c r="G1" s="973"/>
      <c r="H1" s="240"/>
    </row>
    <row r="2" spans="1:8" s="26" customFormat="1" ht="18.75">
      <c r="A2" s="974"/>
      <c r="B2" s="974"/>
      <c r="C2" s="974"/>
      <c r="D2" s="974"/>
      <c r="E2" s="974"/>
      <c r="F2" s="974"/>
      <c r="G2" s="974"/>
      <c r="H2" s="1"/>
    </row>
    <row r="3" spans="1:8" s="28" customFormat="1" ht="18.75">
      <c r="A3" s="996" t="s">
        <v>110</v>
      </c>
      <c r="B3" s="996"/>
      <c r="C3" s="996"/>
      <c r="D3" s="996"/>
      <c r="E3" s="996"/>
      <c r="F3" s="996"/>
      <c r="G3" s="996"/>
      <c r="H3" s="27"/>
    </row>
    <row r="4" spans="1:8" s="28" customFormat="1" ht="18.75">
      <c r="A4" s="996" t="s">
        <v>304</v>
      </c>
      <c r="B4" s="996"/>
      <c r="C4" s="996"/>
      <c r="D4" s="996"/>
      <c r="E4" s="996"/>
      <c r="F4" s="996"/>
      <c r="G4" s="996"/>
      <c r="H4" s="27"/>
    </row>
    <row r="5" spans="1:8" s="28" customFormat="1" ht="18.75">
      <c r="A5" s="375"/>
      <c r="B5" s="376"/>
      <c r="C5" s="376"/>
      <c r="D5" s="376"/>
      <c r="E5" s="376"/>
      <c r="F5" s="377"/>
      <c r="G5" s="378"/>
      <c r="H5" s="27"/>
    </row>
    <row r="6" spans="1:8" ht="15.75">
      <c r="A6" s="379"/>
      <c r="B6" s="377"/>
      <c r="C6" s="377"/>
      <c r="D6" s="377"/>
      <c r="E6" s="377"/>
      <c r="F6" s="380"/>
      <c r="G6" s="381"/>
      <c r="H6" s="29"/>
    </row>
    <row r="7" spans="1:9" s="31" customFormat="1" ht="25.5">
      <c r="A7" s="382"/>
      <c r="B7" s="383" t="s">
        <v>335</v>
      </c>
      <c r="C7" s="383" t="s">
        <v>339</v>
      </c>
      <c r="D7" s="383" t="s">
        <v>434</v>
      </c>
      <c r="E7" s="383" t="s">
        <v>39</v>
      </c>
      <c r="F7" s="383" t="s">
        <v>389</v>
      </c>
      <c r="G7" s="383" t="s">
        <v>78</v>
      </c>
      <c r="H7" s="373"/>
      <c r="I7" s="31" t="s">
        <v>423</v>
      </c>
    </row>
    <row r="8" spans="1:8" s="33" customFormat="1" ht="12.75">
      <c r="A8" s="384" t="s">
        <v>112</v>
      </c>
      <c r="B8" s="385"/>
      <c r="C8" s="385"/>
      <c r="D8" s="385"/>
      <c r="E8" s="385"/>
      <c r="F8" s="385"/>
      <c r="G8" s="386"/>
      <c r="H8" s="32"/>
    </row>
    <row r="9" spans="1:9" ht="12.75">
      <c r="A9" s="387" t="s">
        <v>113</v>
      </c>
      <c r="B9" s="487">
        <f>'(7)Premiums YTD8'!B12</f>
        <v>118640</v>
      </c>
      <c r="C9" s="487">
        <f>'(7)Premiums YTD8'!C12</f>
        <v>-4078</v>
      </c>
      <c r="D9" s="487">
        <f>'(7)Premiums YTD8'!D12</f>
        <v>0</v>
      </c>
      <c r="E9" s="487" t="e">
        <f>'(7)Premiums YTD8'!E12</f>
        <v>#REF!</v>
      </c>
      <c r="F9" s="544" t="e">
        <f>'(7)Premiums YTD8'!F12</f>
        <v>#REF!</v>
      </c>
      <c r="G9" s="488" t="e">
        <f>SUM(B9:F9)</f>
        <v>#REF!</v>
      </c>
      <c r="H9" s="34" t="e">
        <f>SUM(G9)</f>
        <v>#REF!</v>
      </c>
      <c r="I9" s="30">
        <v>8</v>
      </c>
    </row>
    <row r="10" spans="1:9" ht="12.75">
      <c r="A10" s="387" t="s">
        <v>114</v>
      </c>
      <c r="B10" s="476">
        <f>'(8)Earned Incurred YTD6'!C48</f>
        <v>44581.64</v>
      </c>
      <c r="C10" s="476">
        <f>'(8)Earned Incurred YTD6'!D48</f>
        <v>0</v>
      </c>
      <c r="D10" s="476">
        <v>0</v>
      </c>
      <c r="E10" s="476">
        <v>0</v>
      </c>
      <c r="F10" s="476">
        <v>0</v>
      </c>
      <c r="G10" s="477">
        <f>SUM(B10:F10)</f>
        <v>44581.64</v>
      </c>
      <c r="H10" s="35">
        <f>+'(8)Earned Incurred YTD6'!C48</f>
        <v>44581.64</v>
      </c>
      <c r="I10" s="30">
        <v>6</v>
      </c>
    </row>
    <row r="11" spans="1:8" ht="12.75">
      <c r="A11" s="348" t="s">
        <v>115</v>
      </c>
      <c r="B11" s="478">
        <f aca="true" t="shared" si="0" ref="B11:G11">SUM(B9:B10)</f>
        <v>163221.64</v>
      </c>
      <c r="C11" s="478">
        <f t="shared" si="0"/>
        <v>-4078</v>
      </c>
      <c r="D11" s="478">
        <f t="shared" si="0"/>
        <v>0</v>
      </c>
      <c r="E11" s="478" t="e">
        <f t="shared" si="0"/>
        <v>#REF!</v>
      </c>
      <c r="F11" s="478" t="e">
        <f t="shared" si="0"/>
        <v>#REF!</v>
      </c>
      <c r="G11" s="479" t="e">
        <f t="shared" si="0"/>
        <v>#REF!</v>
      </c>
      <c r="H11" s="38"/>
    </row>
    <row r="12" spans="1:8" ht="12.75">
      <c r="A12" s="348"/>
      <c r="B12" s="476"/>
      <c r="C12" s="476"/>
      <c r="D12" s="476"/>
      <c r="E12" s="476"/>
      <c r="F12" s="476"/>
      <c r="G12" s="476"/>
      <c r="H12" s="36"/>
    </row>
    <row r="13" spans="1:8" ht="12.75">
      <c r="A13" s="384" t="s">
        <v>116</v>
      </c>
      <c r="B13" s="483"/>
      <c r="C13" s="483"/>
      <c r="D13" s="483"/>
      <c r="E13" s="483"/>
      <c r="F13" s="483"/>
      <c r="G13" s="476"/>
      <c r="H13" s="36"/>
    </row>
    <row r="14" spans="1:10" ht="12.75">
      <c r="A14" s="348" t="s">
        <v>117</v>
      </c>
      <c r="B14" s="476">
        <f>+'(6)Losses Incurred YTD10'!B12</f>
        <v>2255791.24</v>
      </c>
      <c r="C14" s="476" t="e">
        <f>+'(6)Losses Incurred YTD10'!C12</f>
        <v>#REF!</v>
      </c>
      <c r="D14" s="476" t="e">
        <f>+'(6)Losses Incurred YTD10'!D12</f>
        <v>#REF!</v>
      </c>
      <c r="E14" s="476">
        <f>+'(6)Losses Incurred YTD10'!E12</f>
        <v>59250</v>
      </c>
      <c r="F14" s="476" t="e">
        <f>'(6)Losses Incurred YTD10'!F12</f>
        <v>#REF!</v>
      </c>
      <c r="G14" s="480" t="e">
        <f>SUM(B14:F14)-1</f>
        <v>#REF!</v>
      </c>
      <c r="H14" s="35" t="e">
        <f>+'(6)Losses Incurred YTD10'!H12</f>
        <v>#REF!</v>
      </c>
      <c r="I14" s="30">
        <v>10</v>
      </c>
      <c r="J14" s="115" t="e">
        <f>+G14-H14</f>
        <v>#REF!</v>
      </c>
    </row>
    <row r="15" spans="1:9" ht="12.75">
      <c r="A15" s="348" t="s">
        <v>118</v>
      </c>
      <c r="B15" s="476">
        <f>+'(1)ULEP-YTD17'!B44</f>
        <v>210128.8</v>
      </c>
      <c r="C15" s="476">
        <f>+'(1)ULEP-YTD17'!B38</f>
        <v>77522.81</v>
      </c>
      <c r="D15" s="476">
        <f>+'(1)ULEP-YTD17'!B32</f>
        <v>982.14</v>
      </c>
      <c r="E15" s="476">
        <f>+'(1)ULEP-YTD17'!B26</f>
        <v>605.69</v>
      </c>
      <c r="F15" s="476" t="e">
        <f>+'(1)ULEP-YTD17'!B20</f>
        <v>#REF!</v>
      </c>
      <c r="G15" s="480" t="e">
        <f aca="true" t="shared" si="1" ref="G15:G22">SUM(B15:F15)</f>
        <v>#REF!</v>
      </c>
      <c r="H15" s="35" t="e">
        <f>+'(1)ULEP-YTD17'!G49</f>
        <v>#REF!</v>
      </c>
      <c r="I15" s="30">
        <v>17</v>
      </c>
    </row>
    <row r="16" spans="1:9" ht="12.75">
      <c r="A16" s="348" t="s">
        <v>119</v>
      </c>
      <c r="B16" s="476">
        <f>+'(1)ULEP-YTD17'!F44</f>
        <v>84007.43000000001</v>
      </c>
      <c r="C16" s="476">
        <f>+'(1)ULEP-YTD17'!F38</f>
        <v>53685.96</v>
      </c>
      <c r="D16" s="476">
        <f>+'(1)ULEP-YTD17'!F32</f>
        <v>1103.4799999999998</v>
      </c>
      <c r="E16" s="476">
        <f>+'(1)ULEP-YTD17'!F26</f>
        <v>2206.52</v>
      </c>
      <c r="F16" s="476" t="e">
        <f>+'(1)ULEP-YTD17'!F20</f>
        <v>#REF!</v>
      </c>
      <c r="G16" s="480" t="e">
        <f t="shared" si="1"/>
        <v>#REF!</v>
      </c>
      <c r="H16" s="35" t="e">
        <f>+G16+G15</f>
        <v>#REF!</v>
      </c>
      <c r="I16" s="30">
        <v>17</v>
      </c>
    </row>
    <row r="17" spans="1:9" ht="12.75">
      <c r="A17" s="348" t="s">
        <v>120</v>
      </c>
      <c r="B17" s="476">
        <f>+'[1]TB03-31-04(Final)'!G635</f>
        <v>12016.59</v>
      </c>
      <c r="C17" s="476">
        <v>0</v>
      </c>
      <c r="D17" s="476">
        <v>0</v>
      </c>
      <c r="E17" s="476">
        <v>0</v>
      </c>
      <c r="F17" s="340">
        <v>0</v>
      </c>
      <c r="G17" s="480">
        <f t="shared" si="1"/>
        <v>12016.59</v>
      </c>
      <c r="H17" s="350">
        <f>+'(8)Earned Incurred YTD6'!C38</f>
        <v>108491.93</v>
      </c>
      <c r="I17" s="37">
        <v>62000</v>
      </c>
    </row>
    <row r="18" spans="1:10" ht="12.75">
      <c r="A18" s="389" t="s">
        <v>121</v>
      </c>
      <c r="B18" s="476">
        <f>+'[1]TB03-31-04(Final)'!G647</f>
        <v>92969.09</v>
      </c>
      <c r="C18" s="476">
        <v>0</v>
      </c>
      <c r="D18" s="476">
        <v>0</v>
      </c>
      <c r="E18" s="476">
        <v>0</v>
      </c>
      <c r="F18" s="476">
        <v>0</v>
      </c>
      <c r="G18" s="480">
        <f t="shared" si="1"/>
        <v>92969.09</v>
      </c>
      <c r="H18" s="35">
        <f>+G17+G18+G20</f>
        <v>108491.93</v>
      </c>
      <c r="I18" s="37">
        <v>65000</v>
      </c>
      <c r="J18" s="115">
        <f>+H17-H18</f>
        <v>0</v>
      </c>
    </row>
    <row r="19" spans="1:10" ht="12.75">
      <c r="A19" s="389" t="s">
        <v>122</v>
      </c>
      <c r="B19" s="340" t="e">
        <f>+'(8)Earned Incurred YTD6'!D37-C19-D19-E19</f>
        <v>#REF!</v>
      </c>
      <c r="C19" s="340">
        <f>+'[1]TB03-31-04(Final)'!F626+'[1]TB03-31-04(Final)'!F620+'[1]TB03-31-04(Final)'!F612+'[1]TB03-31-04(Final)'!F603+'[1]TB03-31-04(Final)'!F595+'[1]TB03-31-04(Final)'!F586</f>
        <v>-369.1</v>
      </c>
      <c r="D19" s="476">
        <f>+'[1]TB03-31-04(Final)'!G585</f>
        <v>0</v>
      </c>
      <c r="E19" s="476" t="e">
        <f>+'[1]TB03-31-04(Final)'!F584+'[1]TB03-31-04(Final)'!F593+'[1]TB03-31-04(Final)'!F601-'[1]TB03-31-04(Final)'!F610</f>
        <v>#REF!</v>
      </c>
      <c r="F19" s="568">
        <v>0</v>
      </c>
      <c r="G19" s="480" t="e">
        <f>SUM(B19:F19)</f>
        <v>#REF!</v>
      </c>
      <c r="H19" s="35">
        <f>+'[1]TB03-31-04(Final)'!G630</f>
        <v>528557.35</v>
      </c>
      <c r="I19" s="30" t="s">
        <v>424</v>
      </c>
      <c r="J19" s="115" t="e">
        <f>+G19-H19</f>
        <v>#REF!</v>
      </c>
    </row>
    <row r="20" spans="1:9" ht="12.75">
      <c r="A20" s="348" t="s">
        <v>123</v>
      </c>
      <c r="B20" s="476">
        <f>+'[1]TB03-31-04(Final)'!G639</f>
        <v>3506.25</v>
      </c>
      <c r="C20" s="476">
        <v>0</v>
      </c>
      <c r="D20" s="476">
        <v>0</v>
      </c>
      <c r="E20" s="476">
        <v>0</v>
      </c>
      <c r="F20" s="340">
        <v>0</v>
      </c>
      <c r="G20" s="480">
        <f t="shared" si="1"/>
        <v>3506.25</v>
      </c>
      <c r="H20" s="350">
        <f>+G20+G18+G17</f>
        <v>108491.93</v>
      </c>
      <c r="I20" s="37">
        <v>63000</v>
      </c>
    </row>
    <row r="21" spans="1:10" ht="12.75">
      <c r="A21" s="348" t="s">
        <v>124</v>
      </c>
      <c r="B21" s="476">
        <f>+'(8)Earned Incurred YTD6'!C39</f>
        <v>995251.8099999997</v>
      </c>
      <c r="C21" s="476">
        <f>+'(8)Earned Incurred YTD6'!D39</f>
        <v>0</v>
      </c>
      <c r="D21" s="476">
        <v>0</v>
      </c>
      <c r="E21" s="476">
        <v>0</v>
      </c>
      <c r="F21" s="340">
        <v>0</v>
      </c>
      <c r="G21" s="480">
        <f t="shared" si="1"/>
        <v>995251.8099999997</v>
      </c>
      <c r="H21" s="35"/>
      <c r="I21" s="30">
        <v>5</v>
      </c>
      <c r="J21" s="349">
        <f>+G21-H21</f>
        <v>995251.8099999997</v>
      </c>
    </row>
    <row r="22" spans="1:9" ht="12.75">
      <c r="A22" s="348" t="s">
        <v>91</v>
      </c>
      <c r="B22" s="476">
        <f>23108.63+20347.1+10350+600</f>
        <v>54405.729999999996</v>
      </c>
      <c r="C22" s="476">
        <f>20700+6478.27+1200</f>
        <v>28378.27</v>
      </c>
      <c r="D22" s="476">
        <v>0</v>
      </c>
      <c r="E22" s="481">
        <v>0</v>
      </c>
      <c r="F22" s="340">
        <v>0</v>
      </c>
      <c r="G22" s="480">
        <f t="shared" si="1"/>
        <v>82784</v>
      </c>
      <c r="H22" s="36">
        <f>+'(8)Earned Incurred YTD6'!C31</f>
        <v>82784</v>
      </c>
      <c r="I22" s="30">
        <v>6</v>
      </c>
    </row>
    <row r="23" spans="1:8" ht="12.75">
      <c r="A23" s="348" t="s">
        <v>115</v>
      </c>
      <c r="B23" s="478" t="e">
        <f aca="true" t="shared" si="2" ref="B23:G23">SUM(B14:B22)</f>
        <v>#REF!</v>
      </c>
      <c r="C23" s="478" t="e">
        <f t="shared" si="2"/>
        <v>#REF!</v>
      </c>
      <c r="D23" s="478" t="e">
        <f t="shared" si="2"/>
        <v>#REF!</v>
      </c>
      <c r="E23" s="478" t="e">
        <f t="shared" si="2"/>
        <v>#REF!</v>
      </c>
      <c r="F23" s="478" t="e">
        <f>SUM(F14:F22)</f>
        <v>#REF!</v>
      </c>
      <c r="G23" s="479" t="e">
        <f t="shared" si="2"/>
        <v>#REF!</v>
      </c>
      <c r="H23" s="142" t="e">
        <f>SUM(G14:G22)</f>
        <v>#REF!</v>
      </c>
    </row>
    <row r="24" spans="1:8" ht="12.75">
      <c r="A24" s="348"/>
      <c r="B24" s="476"/>
      <c r="C24" s="476"/>
      <c r="D24" s="476"/>
      <c r="E24" s="476"/>
      <c r="F24" s="476"/>
      <c r="G24" s="476"/>
      <c r="H24" s="36"/>
    </row>
    <row r="25" spans="1:8" ht="12.75">
      <c r="A25" s="390" t="s">
        <v>125</v>
      </c>
      <c r="B25" s="482" t="e">
        <f aca="true" t="shared" si="3" ref="B25:G25">B11-B23</f>
        <v>#REF!</v>
      </c>
      <c r="C25" s="482" t="e">
        <f>C11-C23</f>
        <v>#REF!</v>
      </c>
      <c r="D25" s="482" t="e">
        <f t="shared" si="3"/>
        <v>#REF!</v>
      </c>
      <c r="E25" s="482" t="e">
        <f t="shared" si="3"/>
        <v>#REF!</v>
      </c>
      <c r="F25" s="482" t="e">
        <f t="shared" si="3"/>
        <v>#REF!</v>
      </c>
      <c r="G25" s="479" t="e">
        <f t="shared" si="3"/>
        <v>#REF!</v>
      </c>
      <c r="H25" s="142"/>
    </row>
    <row r="26" spans="1:8" ht="16.5" customHeight="1">
      <c r="A26" s="348"/>
      <c r="B26" s="476"/>
      <c r="C26" s="476"/>
      <c r="D26" s="476"/>
      <c r="E26" s="476"/>
      <c r="F26" s="476"/>
      <c r="G26" s="476"/>
      <c r="H26" s="36"/>
    </row>
    <row r="27" spans="1:8" ht="12.75">
      <c r="A27" s="384" t="s">
        <v>126</v>
      </c>
      <c r="B27" s="483"/>
      <c r="C27" s="483"/>
      <c r="D27" s="483"/>
      <c r="E27" s="483"/>
      <c r="F27" s="483"/>
      <c r="G27" s="476"/>
      <c r="H27" s="36"/>
    </row>
    <row r="28" spans="1:8" ht="12.75">
      <c r="A28" s="348" t="s">
        <v>127</v>
      </c>
      <c r="B28" s="476">
        <v>0</v>
      </c>
      <c r="C28" s="476">
        <v>17084</v>
      </c>
      <c r="D28" s="476">
        <v>0</v>
      </c>
      <c r="E28" s="476">
        <v>0</v>
      </c>
      <c r="F28" s="476">
        <v>0</v>
      </c>
      <c r="G28" s="480">
        <f>SUM(B28:F28)</f>
        <v>17084</v>
      </c>
      <c r="H28" s="36"/>
    </row>
    <row r="29" spans="1:8" ht="12.75">
      <c r="A29" s="348" t="s">
        <v>128</v>
      </c>
      <c r="B29" s="476">
        <f>'Balance Sheet-1'!D14</f>
        <v>1060566</v>
      </c>
      <c r="C29" s="476">
        <v>0</v>
      </c>
      <c r="D29" s="476">
        <v>0</v>
      </c>
      <c r="E29" s="476">
        <v>0</v>
      </c>
      <c r="F29" s="476">
        <v>0</v>
      </c>
      <c r="G29" s="480">
        <f>SUM(B29:F29)</f>
        <v>1060566</v>
      </c>
      <c r="H29" s="36"/>
    </row>
    <row r="30" spans="1:8" ht="12.75" hidden="1">
      <c r="A30" s="348" t="s">
        <v>363</v>
      </c>
      <c r="B30" s="476">
        <v>0</v>
      </c>
      <c r="C30" s="476">
        <v>0</v>
      </c>
      <c r="D30" s="476">
        <v>0</v>
      </c>
      <c r="E30" s="476">
        <v>0</v>
      </c>
      <c r="F30" s="476">
        <v>0</v>
      </c>
      <c r="G30" s="480">
        <f>SUM(B30:F30)</f>
        <v>0</v>
      </c>
      <c r="H30" s="36" t="s">
        <v>326</v>
      </c>
    </row>
    <row r="31" spans="1:8" ht="12.75">
      <c r="A31" s="348" t="s">
        <v>115</v>
      </c>
      <c r="B31" s="478">
        <f aca="true" t="shared" si="4" ref="B31:G31">SUM(B28:B30)</f>
        <v>1060566</v>
      </c>
      <c r="C31" s="478">
        <f t="shared" si="4"/>
        <v>17084</v>
      </c>
      <c r="D31" s="478">
        <f t="shared" si="4"/>
        <v>0</v>
      </c>
      <c r="E31" s="478">
        <f t="shared" si="4"/>
        <v>0</v>
      </c>
      <c r="F31" s="478">
        <f t="shared" si="4"/>
        <v>0</v>
      </c>
      <c r="G31" s="479">
        <f t="shared" si="4"/>
        <v>1077650</v>
      </c>
      <c r="H31" s="38"/>
    </row>
    <row r="32" spans="1:8" ht="12.75">
      <c r="A32" s="348"/>
      <c r="B32" s="476"/>
      <c r="C32" s="476"/>
      <c r="D32" s="476"/>
      <c r="E32" s="476"/>
      <c r="F32" s="476"/>
      <c r="G32" s="476"/>
      <c r="H32" s="36"/>
    </row>
    <row r="33" spans="1:8" ht="12.75">
      <c r="A33" s="384" t="s">
        <v>129</v>
      </c>
      <c r="B33" s="483"/>
      <c r="C33" s="483"/>
      <c r="D33" s="483"/>
      <c r="E33" s="483"/>
      <c r="F33" s="483"/>
      <c r="G33" s="476"/>
      <c r="H33" s="36"/>
    </row>
    <row r="34" spans="1:8" ht="12.75">
      <c r="A34" s="348" t="s">
        <v>130</v>
      </c>
      <c r="B34" s="476">
        <f>'(8)Earned Incurred YTD6'!B49</f>
        <v>10038.47</v>
      </c>
      <c r="C34" s="476">
        <f>'(8)Earned Incurred YTD6'!C49</f>
        <v>0</v>
      </c>
      <c r="D34" s="476">
        <v>0</v>
      </c>
      <c r="E34" s="476">
        <v>0</v>
      </c>
      <c r="F34" s="476">
        <v>0</v>
      </c>
      <c r="G34" s="480">
        <f>SUM(B34:F34)</f>
        <v>10038.47</v>
      </c>
      <c r="H34" s="36">
        <f>-G28+G34</f>
        <v>-7045.530000000001</v>
      </c>
    </row>
    <row r="35" spans="1:8" ht="12.75">
      <c r="A35" s="348" t="s">
        <v>131</v>
      </c>
      <c r="B35" s="476">
        <v>0</v>
      </c>
      <c r="C35" s="476">
        <v>282394</v>
      </c>
      <c r="D35" s="476">
        <v>0</v>
      </c>
      <c r="E35" s="476">
        <v>0</v>
      </c>
      <c r="F35" s="476">
        <v>0</v>
      </c>
      <c r="G35" s="480">
        <f>SUM(B35:F35)</f>
        <v>282394</v>
      </c>
      <c r="H35" s="36"/>
    </row>
    <row r="36" spans="1:8" ht="12.75" hidden="1">
      <c r="A36" s="348"/>
      <c r="B36" s="476"/>
      <c r="C36" s="476"/>
      <c r="D36" s="476"/>
      <c r="E36" s="476"/>
      <c r="F36" s="476"/>
      <c r="G36" s="480"/>
      <c r="H36" s="36"/>
    </row>
    <row r="37" spans="1:8" ht="12.75">
      <c r="A37" s="348" t="s">
        <v>115</v>
      </c>
      <c r="B37" s="478">
        <f aca="true" t="shared" si="5" ref="B37:G37">SUM(B34:B36)</f>
        <v>10038.47</v>
      </c>
      <c r="C37" s="478">
        <f t="shared" si="5"/>
        <v>282394</v>
      </c>
      <c r="D37" s="478">
        <f t="shared" si="5"/>
        <v>0</v>
      </c>
      <c r="E37" s="478">
        <f t="shared" si="5"/>
        <v>0</v>
      </c>
      <c r="F37" s="478">
        <f t="shared" si="5"/>
        <v>0</v>
      </c>
      <c r="G37" s="479">
        <f t="shared" si="5"/>
        <v>292432.47</v>
      </c>
      <c r="H37" s="569">
        <f>+G31-G37</f>
        <v>785217.53</v>
      </c>
    </row>
    <row r="38" spans="1:8" ht="12.75">
      <c r="A38" s="348"/>
      <c r="B38" s="476"/>
      <c r="C38" s="476"/>
      <c r="D38" s="476"/>
      <c r="E38" s="476"/>
      <c r="F38" s="476"/>
      <c r="G38" s="485"/>
      <c r="H38" s="38"/>
    </row>
    <row r="39" spans="1:28" s="41" customFormat="1" ht="12.75">
      <c r="A39" s="391" t="s">
        <v>11</v>
      </c>
      <c r="B39" s="476"/>
      <c r="C39" s="476"/>
      <c r="D39" s="476"/>
      <c r="E39" s="476"/>
      <c r="F39" s="476"/>
      <c r="G39" s="476"/>
      <c r="H39" s="36"/>
      <c r="I39" s="39"/>
      <c r="J39" s="39"/>
      <c r="K39" s="39"/>
      <c r="L39" s="39"/>
      <c r="M39" s="40"/>
      <c r="N39" s="40"/>
      <c r="O39" s="40"/>
      <c r="P39" s="40"/>
      <c r="Q39" s="40"/>
      <c r="R39" s="39"/>
      <c r="S39" s="39"/>
      <c r="T39" s="39"/>
      <c r="U39" s="39"/>
      <c r="V39" s="39"/>
      <c r="W39" s="39"/>
      <c r="X39" s="39"/>
      <c r="Y39" s="39"/>
      <c r="Z39" s="39"/>
      <c r="AA39" s="39"/>
      <c r="AB39" s="39"/>
    </row>
    <row r="40" spans="1:28" s="41" customFormat="1" ht="12.75">
      <c r="A40" s="374" t="s">
        <v>12</v>
      </c>
      <c r="B40" s="484" t="e">
        <f>+'Income Statement-2'!#REF!</f>
        <v>#REF!</v>
      </c>
      <c r="C40" s="484"/>
      <c r="D40" s="476">
        <v>0</v>
      </c>
      <c r="E40" s="476">
        <v>0</v>
      </c>
      <c r="F40" s="476">
        <v>0</v>
      </c>
      <c r="G40" s="480" t="e">
        <f>SUM(B40:F40)</f>
        <v>#REF!</v>
      </c>
      <c r="H40" s="36" t="e">
        <f>-G40</f>
        <v>#REF!</v>
      </c>
      <c r="I40" s="39"/>
      <c r="J40" s="39"/>
      <c r="K40" s="39"/>
      <c r="L40" s="39"/>
      <c r="M40" s="40"/>
      <c r="N40" s="40"/>
      <c r="O40" s="40"/>
      <c r="P40" s="40"/>
      <c r="Q40" s="40"/>
      <c r="R40" s="39"/>
      <c r="S40" s="39"/>
      <c r="T40" s="39"/>
      <c r="U40" s="39"/>
      <c r="V40" s="39"/>
      <c r="W40" s="39"/>
      <c r="X40" s="39"/>
      <c r="Y40" s="39"/>
      <c r="Z40" s="39"/>
      <c r="AA40" s="39"/>
      <c r="AB40" s="39"/>
    </row>
    <row r="41" spans="1:28" s="41" customFormat="1" ht="12.75" hidden="1">
      <c r="A41" s="392" t="s">
        <v>26</v>
      </c>
      <c r="B41" s="476">
        <v>0</v>
      </c>
      <c r="C41" s="476">
        <v>0</v>
      </c>
      <c r="D41" s="476">
        <v>0</v>
      </c>
      <c r="E41" s="476">
        <v>0</v>
      </c>
      <c r="F41" s="476">
        <v>0</v>
      </c>
      <c r="G41" s="480">
        <f>SUM(D41:F41)</f>
        <v>0</v>
      </c>
      <c r="H41" s="36"/>
      <c r="I41" s="39"/>
      <c r="J41" s="39"/>
      <c r="K41" s="39"/>
      <c r="L41" s="39"/>
      <c r="M41" s="40"/>
      <c r="N41" s="40"/>
      <c r="O41" s="40"/>
      <c r="P41" s="40"/>
      <c r="Q41" s="40"/>
      <c r="R41" s="39"/>
      <c r="S41" s="39"/>
      <c r="T41" s="39"/>
      <c r="U41" s="39"/>
      <c r="V41" s="39"/>
      <c r="W41" s="39"/>
      <c r="X41" s="39"/>
      <c r="Y41" s="39"/>
      <c r="Z41" s="39"/>
      <c r="AA41" s="39"/>
      <c r="AB41" s="39"/>
    </row>
    <row r="42" spans="1:17" s="41" customFormat="1" ht="12.75">
      <c r="A42" s="392" t="s">
        <v>115</v>
      </c>
      <c r="B42" s="482" t="e">
        <f>SUM(B40:B41)</f>
        <v>#REF!</v>
      </c>
      <c r="C42" s="482">
        <f>SUM(C40:C41)</f>
        <v>0</v>
      </c>
      <c r="D42" s="482">
        <f>SUM(D40:D41)</f>
        <v>0</v>
      </c>
      <c r="E42" s="482">
        <f>SUM(E40:E41)</f>
        <v>0</v>
      </c>
      <c r="F42" s="478">
        <f>SUM(F40:F41)</f>
        <v>0</v>
      </c>
      <c r="G42" s="479" t="e">
        <f>SUM(B42:F42)</f>
        <v>#REF!</v>
      </c>
      <c r="H42" s="38"/>
      <c r="I42" s="42"/>
      <c r="J42" s="39"/>
      <c r="K42" s="39"/>
      <c r="L42" s="39"/>
      <c r="M42" s="40"/>
      <c r="N42" s="40"/>
      <c r="O42" s="40"/>
      <c r="P42" s="40"/>
      <c r="Q42" s="40"/>
    </row>
    <row r="43" spans="1:8" ht="12.75">
      <c r="A43" s="348"/>
      <c r="B43" s="476"/>
      <c r="C43" s="476"/>
      <c r="D43" s="476"/>
      <c r="E43" s="476"/>
      <c r="F43" s="476"/>
      <c r="G43" s="485"/>
      <c r="H43" s="38"/>
    </row>
    <row r="44" spans="1:8" ht="13.5" thickBot="1">
      <c r="A44" s="384" t="s">
        <v>132</v>
      </c>
      <c r="B44" s="482" t="e">
        <f aca="true" t="shared" si="6" ref="B44:G44">B25-B31+B37+B42</f>
        <v>#REF!</v>
      </c>
      <c r="C44" s="482" t="e">
        <f>C25-C31+C37+C42</f>
        <v>#REF!</v>
      </c>
      <c r="D44" s="482" t="e">
        <f t="shared" si="6"/>
        <v>#REF!</v>
      </c>
      <c r="E44" s="482" t="e">
        <f t="shared" si="6"/>
        <v>#REF!</v>
      </c>
      <c r="F44" s="482" t="e">
        <f t="shared" si="6"/>
        <v>#REF!</v>
      </c>
      <c r="G44" s="479" t="e">
        <f t="shared" si="6"/>
        <v>#REF!</v>
      </c>
      <c r="H44" s="570" t="e">
        <f>SUM(H34:H43)</f>
        <v>#REF!</v>
      </c>
    </row>
    <row r="45" spans="1:8" ht="13.5" thickTop="1">
      <c r="A45" s="348"/>
      <c r="B45" s="476"/>
      <c r="C45" s="476"/>
      <c r="D45" s="476"/>
      <c r="E45" s="476"/>
      <c r="F45" s="476"/>
      <c r="G45" s="476"/>
      <c r="H45" s="36"/>
    </row>
    <row r="46" spans="1:8" ht="12.75">
      <c r="A46" s="393" t="s">
        <v>392</v>
      </c>
      <c r="B46" s="476"/>
      <c r="C46" s="476"/>
      <c r="D46" s="476"/>
      <c r="E46" s="476"/>
      <c r="F46" s="476"/>
      <c r="G46" s="476"/>
      <c r="H46" s="36"/>
    </row>
    <row r="47" spans="1:8" ht="12.75">
      <c r="A47" s="348" t="s">
        <v>90</v>
      </c>
      <c r="B47" s="476">
        <f>'(7)Premiums YTD8'!B18</f>
        <v>6184683</v>
      </c>
      <c r="C47" s="476">
        <f>'(7)Premiums YTD8'!C18</f>
        <v>0</v>
      </c>
      <c r="D47" s="476">
        <f>'(7)Premiums YTD8'!D18</f>
        <v>0</v>
      </c>
      <c r="E47" s="476" t="e">
        <f>'(7)Premiums YTD8'!E18</f>
        <v>#REF!</v>
      </c>
      <c r="F47" s="476" t="e">
        <f>'(7)Premiums YTD8'!F18</f>
        <v>#REF!</v>
      </c>
      <c r="G47" s="480" t="e">
        <f>SUM(B47:F47)</f>
        <v>#REF!</v>
      </c>
      <c r="H47" s="36" t="e">
        <f>+'(7)Premiums YTD8'!G18</f>
        <v>#REF!</v>
      </c>
    </row>
    <row r="48" spans="1:8" ht="12.75">
      <c r="A48" s="348" t="s">
        <v>133</v>
      </c>
      <c r="B48" s="476">
        <f>+'(6)Losses Incurred YTD10'!B18</f>
        <v>6530234.16294247</v>
      </c>
      <c r="C48" s="476">
        <f>+'(6)Losses Incurred YTD10'!C18</f>
        <v>525790.71</v>
      </c>
      <c r="D48" s="476">
        <f>+'(6)Losses Incurred YTD10'!D18</f>
        <v>92026</v>
      </c>
      <c r="E48" s="476">
        <f>'(6)Losses Incurred YTD10'!E18</f>
        <v>93733</v>
      </c>
      <c r="F48" s="476" t="e">
        <f>'(6)Losses Incurred YTD10'!F18</f>
        <v>#REF!</v>
      </c>
      <c r="G48" s="480" t="e">
        <f>SUM(B48:F48)</f>
        <v>#REF!</v>
      </c>
      <c r="H48" s="36" t="e">
        <f>+'(6)Losses Incurred YTD10'!H18</f>
        <v>#REF!</v>
      </c>
    </row>
    <row r="49" spans="1:8" ht="12.75">
      <c r="A49" s="348" t="s">
        <v>134</v>
      </c>
      <c r="B49" s="476">
        <f>+'(4)Loss Expenses YTD12'!B18</f>
        <v>670743.568894</v>
      </c>
      <c r="C49" s="476">
        <f>+'(4)Loss Expenses YTD12'!C18</f>
        <v>66617.682957</v>
      </c>
      <c r="D49" s="476">
        <f>+'(4)Loss Expenses YTD12'!D18</f>
        <v>11659.6942</v>
      </c>
      <c r="E49" s="476">
        <f>'(4)Loss Expenses YTD12'!E18-1</f>
        <v>11875.9847</v>
      </c>
      <c r="F49" s="476" t="e">
        <f>'(4)Loss Expenses YTD12'!F18-1</f>
        <v>#REF!</v>
      </c>
      <c r="G49" s="480" t="e">
        <f>SUM(B49:F49)+1</f>
        <v>#REF!</v>
      </c>
      <c r="H49" s="36" t="e">
        <f>+#REF!</f>
        <v>#REF!</v>
      </c>
    </row>
    <row r="50" spans="1:8" ht="12.75">
      <c r="A50" s="348" t="s">
        <v>135</v>
      </c>
      <c r="B50" s="476">
        <f>'(8)Earned Incurred YTD6'!B41</f>
        <v>330321.9</v>
      </c>
      <c r="C50" s="476">
        <f>'(8)Earned Incurred YTD6'!C41</f>
        <v>0</v>
      </c>
      <c r="D50" s="476">
        <v>0</v>
      </c>
      <c r="E50" s="476">
        <v>0</v>
      </c>
      <c r="F50" s="340">
        <v>0</v>
      </c>
      <c r="G50" s="480">
        <f>SUM(B50:F50)</f>
        <v>330321.9</v>
      </c>
      <c r="H50" s="36">
        <f>+'(8)Earned Incurred YTD6'!B41</f>
        <v>330321.9</v>
      </c>
    </row>
    <row r="51" spans="1:8" ht="12.75">
      <c r="A51" s="348" t="s">
        <v>136</v>
      </c>
      <c r="B51" s="476">
        <f>'(8)Earned Incurred YTD6'!B32</f>
        <v>42846</v>
      </c>
      <c r="C51" s="476">
        <f>'(8)Earned Incurred YTD6'!C32</f>
        <v>0</v>
      </c>
      <c r="D51" s="476">
        <v>0</v>
      </c>
      <c r="E51" s="476">
        <v>0</v>
      </c>
      <c r="F51" s="340">
        <v>0</v>
      </c>
      <c r="G51" s="480">
        <f>SUM(B51:F51)</f>
        <v>42846</v>
      </c>
      <c r="H51" s="36">
        <f>+'(8)Earned Incurred YTD6'!B32</f>
        <v>42846</v>
      </c>
    </row>
    <row r="52" spans="1:9" ht="12.75">
      <c r="A52" s="394" t="s">
        <v>115</v>
      </c>
      <c r="B52" s="478">
        <f>SUM(B47:B51)-1</f>
        <v>13758827.63183647</v>
      </c>
      <c r="C52" s="478">
        <f>SUM(C47:C51)-1</f>
        <v>592407.392957</v>
      </c>
      <c r="D52" s="478">
        <f>SUM(D47:D51)</f>
        <v>103685.6942</v>
      </c>
      <c r="E52" s="478" t="e">
        <f>SUM(E47:E51)</f>
        <v>#REF!</v>
      </c>
      <c r="F52" s="478" t="e">
        <f>SUM(F47:F51)</f>
        <v>#REF!</v>
      </c>
      <c r="G52" s="479" t="e">
        <f>SUM(G47:G51)</f>
        <v>#REF!</v>
      </c>
      <c r="H52" s="38" t="e">
        <f>SUM(G47:G51)</f>
        <v>#REF!</v>
      </c>
      <c r="I52" s="254" t="e">
        <f>+G52-H52</f>
        <v>#REF!</v>
      </c>
    </row>
    <row r="53" spans="1:8" ht="12.75">
      <c r="A53" s="348"/>
      <c r="B53" s="476"/>
      <c r="C53" s="476"/>
      <c r="D53" s="476"/>
      <c r="E53" s="476"/>
      <c r="F53" s="476"/>
      <c r="G53" s="476"/>
      <c r="H53" s="36"/>
    </row>
    <row r="54" spans="1:8" ht="12.75">
      <c r="A54" s="393" t="s">
        <v>393</v>
      </c>
      <c r="B54" s="489"/>
      <c r="C54" s="489"/>
      <c r="D54" s="489"/>
      <c r="E54" s="489"/>
      <c r="F54" s="476"/>
      <c r="G54" s="476"/>
      <c r="H54" s="36"/>
    </row>
    <row r="55" spans="1:8" ht="12.75">
      <c r="A55" s="348" t="s">
        <v>90</v>
      </c>
      <c r="B55" s="476">
        <f>+'(7)Premiums YTD8'!B24</f>
        <v>0</v>
      </c>
      <c r="C55" s="476">
        <f>+'(7)Premiums YTD8'!C24</f>
        <v>8897126</v>
      </c>
      <c r="D55" s="476">
        <f>+'(7)Premiums YTD8'!D24</f>
        <v>0</v>
      </c>
      <c r="E55" s="476">
        <f>+'(7)Premiums YTD8'!E24</f>
        <v>0</v>
      </c>
      <c r="F55" s="476">
        <v>0</v>
      </c>
      <c r="G55" s="480">
        <f>SUM(B55:F55)</f>
        <v>8897126</v>
      </c>
      <c r="H55" s="36">
        <f>+'(7)Premiums YTD8'!G24</f>
        <v>8897126</v>
      </c>
    </row>
    <row r="56" spans="1:8" ht="12.75">
      <c r="A56" s="348" t="s">
        <v>133</v>
      </c>
      <c r="B56" s="476">
        <v>0</v>
      </c>
      <c r="C56" s="476">
        <f>+'(6)Losses Incurred YTD10'!C24</f>
        <v>4404123</v>
      </c>
      <c r="D56" s="476">
        <f>+'(6)Losses Incurred YTD10'!D24</f>
        <v>932658</v>
      </c>
      <c r="E56" s="476">
        <f>+'(6)Losses Incurred YTD10'!E24</f>
        <v>172030</v>
      </c>
      <c r="F56" s="476">
        <f>+'(6)Losses Incurred YTD10'!F24</f>
        <v>78667</v>
      </c>
      <c r="G56" s="480">
        <f>SUM(B56:F56)-1</f>
        <v>5587477</v>
      </c>
      <c r="H56" s="36">
        <f>+'(6)Losses Incurred YTD10'!H24</f>
        <v>5587477</v>
      </c>
    </row>
    <row r="57" spans="1:8" ht="12.75">
      <c r="A57" s="348" t="s">
        <v>137</v>
      </c>
      <c r="B57" s="476">
        <v>0</v>
      </c>
      <c r="C57" s="476">
        <f>+'(4)Loss Expenses YTD12'!C24</f>
        <v>343249</v>
      </c>
      <c r="D57" s="476">
        <f>+'(4)Loss Expenses YTD12'!D24</f>
        <v>103712</v>
      </c>
      <c r="E57" s="476">
        <f>+'(4)Loss Expenses YTD12'!E24</f>
        <v>19130</v>
      </c>
      <c r="F57" s="476">
        <f>+'(4)Loss Expenses YTD12'!F24</f>
        <v>8748</v>
      </c>
      <c r="G57" s="480">
        <f>SUM(B57:F57)-2</f>
        <v>474837</v>
      </c>
      <c r="H57" s="36">
        <f>+'(4)Loss Expenses YTD12'!H24</f>
        <v>474837</v>
      </c>
    </row>
    <row r="58" spans="1:8" ht="12.75">
      <c r="A58" s="348" t="s">
        <v>135</v>
      </c>
      <c r="B58" s="476">
        <v>0</v>
      </c>
      <c r="C58" s="476">
        <f>+'(8)Earned Incurred YTD6'!B42</f>
        <v>356304</v>
      </c>
      <c r="D58" s="476">
        <v>0</v>
      </c>
      <c r="E58" s="476">
        <v>0</v>
      </c>
      <c r="F58" s="476">
        <v>0</v>
      </c>
      <c r="G58" s="480">
        <f>SUM(B58:F58)</f>
        <v>356304</v>
      </c>
      <c r="H58" s="36">
        <f>+'(8)Earned Incurred YTD6'!B42</f>
        <v>356304</v>
      </c>
    </row>
    <row r="59" spans="1:8" ht="12.75">
      <c r="A59" s="348" t="s">
        <v>136</v>
      </c>
      <c r="B59" s="476">
        <v>0</v>
      </c>
      <c r="C59" s="476">
        <f>+'(8)Earned Incurred YTD6'!B33</f>
        <v>46320</v>
      </c>
      <c r="D59" s="476">
        <v>0</v>
      </c>
      <c r="E59" s="476">
        <v>0</v>
      </c>
      <c r="F59" s="476">
        <v>0</v>
      </c>
      <c r="G59" s="480">
        <f>SUM(B59:F59)</f>
        <v>46320</v>
      </c>
      <c r="H59" s="36">
        <f>+'(8)Earned Incurred YTD6'!B33</f>
        <v>46320</v>
      </c>
    </row>
    <row r="60" spans="1:8" ht="12.75">
      <c r="A60" s="348" t="s">
        <v>115</v>
      </c>
      <c r="B60" s="478">
        <f aca="true" t="shared" si="7" ref="B60:G60">SUM(B55:B59)</f>
        <v>0</v>
      </c>
      <c r="C60" s="478">
        <f t="shared" si="7"/>
        <v>14047122</v>
      </c>
      <c r="D60" s="478">
        <f t="shared" si="7"/>
        <v>1036370</v>
      </c>
      <c r="E60" s="478">
        <f t="shared" si="7"/>
        <v>191160</v>
      </c>
      <c r="F60" s="478">
        <f t="shared" si="7"/>
        <v>87415</v>
      </c>
      <c r="G60" s="479">
        <f t="shared" si="7"/>
        <v>15362064</v>
      </c>
      <c r="H60" s="38">
        <f>SUM(G55:G59)</f>
        <v>15362064</v>
      </c>
    </row>
    <row r="61" spans="1:7" ht="12.75">
      <c r="A61" s="348"/>
      <c r="B61" s="395"/>
      <c r="C61" s="395"/>
      <c r="D61" s="395"/>
      <c r="E61" s="395"/>
      <c r="F61" s="388"/>
      <c r="G61" s="388"/>
    </row>
    <row r="62" spans="1:8" s="118" customFormat="1" ht="13.5" thickBot="1">
      <c r="A62" s="390" t="s">
        <v>138</v>
      </c>
      <c r="B62" s="486" t="e">
        <f>B44-B52+B60</f>
        <v>#REF!</v>
      </c>
      <c r="C62" s="486" t="e">
        <f>C44-C52+C60</f>
        <v>#REF!</v>
      </c>
      <c r="D62" s="486" t="e">
        <f>D44-D52+D60</f>
        <v>#REF!</v>
      </c>
      <c r="E62" s="486" t="e">
        <f>E44-E52+E60</f>
        <v>#REF!</v>
      </c>
      <c r="F62" s="486" t="e">
        <f>F44-F52+F60</f>
        <v>#REF!</v>
      </c>
      <c r="G62" s="486" t="e">
        <f>SUM(B62:F62)-5</f>
        <v>#REF!</v>
      </c>
      <c r="H62" s="43" t="e">
        <f>+H44</f>
        <v>#REF!</v>
      </c>
    </row>
    <row r="63" spans="1:9" ht="13.5" thickTop="1">
      <c r="A63" s="348"/>
      <c r="B63" s="395"/>
      <c r="C63" s="395"/>
      <c r="D63" s="395"/>
      <c r="E63" s="395"/>
      <c r="F63" s="388"/>
      <c r="G63" s="572"/>
      <c r="H63" s="43" t="e">
        <f>+G62-H62</f>
        <v>#REF!</v>
      </c>
      <c r="I63" s="339"/>
    </row>
    <row r="64" spans="1:9" ht="12.75">
      <c r="A64" s="348"/>
      <c r="B64" s="395"/>
      <c r="C64" s="395"/>
      <c r="D64" s="395"/>
      <c r="E64" s="395"/>
      <c r="F64" s="388"/>
      <c r="G64" s="572"/>
      <c r="I64" s="43"/>
    </row>
    <row r="65" spans="1:7" ht="12.75">
      <c r="A65" s="348"/>
      <c r="B65" s="395"/>
      <c r="C65" s="395"/>
      <c r="D65" s="395"/>
      <c r="E65" s="395"/>
      <c r="F65" s="388"/>
      <c r="G65" s="731"/>
    </row>
    <row r="66" ht="12.75">
      <c r="G66" s="571"/>
    </row>
    <row r="67" ht="12.75">
      <c r="J67" s="115"/>
    </row>
    <row r="68" ht="12.75">
      <c r="J68" s="348"/>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6.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0" customWidth="1"/>
    <col min="2" max="2" width="17.421875" style="524" customWidth="1"/>
    <col min="3" max="3" width="17.57421875" style="524" customWidth="1"/>
    <col min="4" max="4" width="17.28125" style="524" customWidth="1"/>
    <col min="5" max="5" width="16.00390625" style="20" hidden="1" customWidth="1"/>
    <col min="6" max="6" width="14.00390625" style="288" hidden="1" customWidth="1"/>
    <col min="7" max="8" width="0" style="20" hidden="1" customWidth="1"/>
    <col min="9" max="9" width="15.00390625" style="20" bestFit="1" customWidth="1"/>
    <col min="10" max="10" width="13.00390625" style="20" customWidth="1"/>
    <col min="11" max="16384" width="9.140625" style="20" customWidth="1"/>
  </cols>
  <sheetData>
    <row r="1" spans="1:256" s="257" customFormat="1" ht="27" customHeight="1">
      <c r="A1" s="1001" t="s">
        <v>77</v>
      </c>
      <c r="B1" s="1002"/>
      <c r="C1" s="1002"/>
      <c r="D1" s="1003"/>
      <c r="E1" s="1005"/>
      <c r="F1" s="1005"/>
      <c r="G1" s="1005"/>
      <c r="H1" s="1006"/>
      <c r="I1" s="44"/>
      <c r="J1" s="44"/>
      <c r="K1" s="44"/>
      <c r="L1" s="44"/>
      <c r="M1" s="1007"/>
      <c r="N1" s="1005"/>
      <c r="O1" s="1005"/>
      <c r="P1" s="1006"/>
      <c r="Q1" s="1007"/>
      <c r="R1" s="1005"/>
      <c r="S1" s="1005"/>
      <c r="T1" s="1006"/>
      <c r="U1" s="1007"/>
      <c r="V1" s="1005"/>
      <c r="W1" s="1005"/>
      <c r="X1" s="1006"/>
      <c r="Y1" s="1007"/>
      <c r="Z1" s="1005"/>
      <c r="AA1" s="1005"/>
      <c r="AB1" s="1006"/>
      <c r="AC1" s="1007"/>
      <c r="AD1" s="1005"/>
      <c r="AE1" s="1005"/>
      <c r="AF1" s="1006"/>
      <c r="AG1" s="1007"/>
      <c r="AH1" s="1005"/>
      <c r="AI1" s="1005"/>
      <c r="AJ1" s="1006"/>
      <c r="AK1" s="1007"/>
      <c r="AL1" s="1005"/>
      <c r="AM1" s="1005"/>
      <c r="AN1" s="1006"/>
      <c r="AO1" s="1007"/>
      <c r="AP1" s="1005"/>
      <c r="AQ1" s="1005"/>
      <c r="AR1" s="1006"/>
      <c r="AS1" s="1007"/>
      <c r="AT1" s="1005"/>
      <c r="AU1" s="1005"/>
      <c r="AV1" s="1006"/>
      <c r="AW1" s="1007"/>
      <c r="AX1" s="1005"/>
      <c r="AY1" s="1005"/>
      <c r="AZ1" s="1006"/>
      <c r="BA1" s="1007"/>
      <c r="BB1" s="1005"/>
      <c r="BC1" s="1005"/>
      <c r="BD1" s="1006"/>
      <c r="BE1" s="1007"/>
      <c r="BF1" s="1005"/>
      <c r="BG1" s="1005"/>
      <c r="BH1" s="1006"/>
      <c r="BI1" s="1007"/>
      <c r="BJ1" s="1005"/>
      <c r="BK1" s="1005"/>
      <c r="BL1" s="1006"/>
      <c r="BM1" s="1007"/>
      <c r="BN1" s="1005"/>
      <c r="BO1" s="1005"/>
      <c r="BP1" s="1006"/>
      <c r="BQ1" s="1007"/>
      <c r="BR1" s="1005"/>
      <c r="BS1" s="1005"/>
      <c r="BT1" s="1006"/>
      <c r="BU1" s="1007"/>
      <c r="BV1" s="1005"/>
      <c r="BW1" s="1005"/>
      <c r="BX1" s="1006"/>
      <c r="BY1" s="1007"/>
      <c r="BZ1" s="1005"/>
      <c r="CA1" s="1005"/>
      <c r="CB1" s="1006"/>
      <c r="CC1" s="1007"/>
      <c r="CD1" s="1005"/>
      <c r="CE1" s="1005"/>
      <c r="CF1" s="1006"/>
      <c r="CG1" s="1007"/>
      <c r="CH1" s="1005"/>
      <c r="CI1" s="1005"/>
      <c r="CJ1" s="1006"/>
      <c r="CK1" s="1007"/>
      <c r="CL1" s="1005"/>
      <c r="CM1" s="1005"/>
      <c r="CN1" s="1006"/>
      <c r="CO1" s="1007"/>
      <c r="CP1" s="1005"/>
      <c r="CQ1" s="1005"/>
      <c r="CR1" s="1006"/>
      <c r="CS1" s="1007"/>
      <c r="CT1" s="1005"/>
      <c r="CU1" s="1005"/>
      <c r="CV1" s="1006"/>
      <c r="CW1" s="1007"/>
      <c r="CX1" s="1005"/>
      <c r="CY1" s="1005"/>
      <c r="CZ1" s="1006"/>
      <c r="DA1" s="1007"/>
      <c r="DB1" s="1005"/>
      <c r="DC1" s="1005"/>
      <c r="DD1" s="1006"/>
      <c r="DE1" s="1007"/>
      <c r="DF1" s="1005"/>
      <c r="DG1" s="1005"/>
      <c r="DH1" s="1006"/>
      <c r="DI1" s="1007"/>
      <c r="DJ1" s="1005"/>
      <c r="DK1" s="1005"/>
      <c r="DL1" s="1006"/>
      <c r="DM1" s="1007"/>
      <c r="DN1" s="1005"/>
      <c r="DO1" s="1005"/>
      <c r="DP1" s="1006"/>
      <c r="DQ1" s="1007"/>
      <c r="DR1" s="1005"/>
      <c r="DS1" s="1005"/>
      <c r="DT1" s="1006"/>
      <c r="DU1" s="1007"/>
      <c r="DV1" s="1005"/>
      <c r="DW1" s="1005"/>
      <c r="DX1" s="1006"/>
      <c r="DY1" s="1007"/>
      <c r="DZ1" s="1005"/>
      <c r="EA1" s="1005"/>
      <c r="EB1" s="1006"/>
      <c r="EC1" s="1007"/>
      <c r="ED1" s="1005"/>
      <c r="EE1" s="1005"/>
      <c r="EF1" s="1006"/>
      <c r="EG1" s="1007"/>
      <c r="EH1" s="1005"/>
      <c r="EI1" s="1005"/>
      <c r="EJ1" s="1006"/>
      <c r="EK1" s="1007"/>
      <c r="EL1" s="1005"/>
      <c r="EM1" s="1005"/>
      <c r="EN1" s="1006"/>
      <c r="EO1" s="1007"/>
      <c r="EP1" s="1005"/>
      <c r="EQ1" s="1005"/>
      <c r="ER1" s="1006"/>
      <c r="ES1" s="1007"/>
      <c r="ET1" s="1005"/>
      <c r="EU1" s="1005"/>
      <c r="EV1" s="1006"/>
      <c r="EW1" s="1007"/>
      <c r="EX1" s="1005"/>
      <c r="EY1" s="1005"/>
      <c r="EZ1" s="1006"/>
      <c r="FA1" s="1007"/>
      <c r="FB1" s="1005"/>
      <c r="FC1" s="1005"/>
      <c r="FD1" s="1006"/>
      <c r="FE1" s="1007"/>
      <c r="FF1" s="1005"/>
      <c r="FG1" s="1005"/>
      <c r="FH1" s="1006"/>
      <c r="FI1" s="1007"/>
      <c r="FJ1" s="1005"/>
      <c r="FK1" s="1005"/>
      <c r="FL1" s="1006"/>
      <c r="FM1" s="1007"/>
      <c r="FN1" s="1005"/>
      <c r="FO1" s="1005"/>
      <c r="FP1" s="1006"/>
      <c r="FQ1" s="1007"/>
      <c r="FR1" s="1005"/>
      <c r="FS1" s="1005"/>
      <c r="FT1" s="1006"/>
      <c r="FU1" s="1007"/>
      <c r="FV1" s="1005"/>
      <c r="FW1" s="1005"/>
      <c r="FX1" s="1006"/>
      <c r="FY1" s="1007"/>
      <c r="FZ1" s="1005"/>
      <c r="GA1" s="1005"/>
      <c r="GB1" s="1006"/>
      <c r="GC1" s="1007"/>
      <c r="GD1" s="1005"/>
      <c r="GE1" s="1005"/>
      <c r="GF1" s="1006"/>
      <c r="GG1" s="1007"/>
      <c r="GH1" s="1005"/>
      <c r="GI1" s="1005"/>
      <c r="GJ1" s="1006"/>
      <c r="GK1" s="1007"/>
      <c r="GL1" s="1005"/>
      <c r="GM1" s="1005"/>
      <c r="GN1" s="1006"/>
      <c r="GO1" s="1007"/>
      <c r="GP1" s="1005"/>
      <c r="GQ1" s="1005"/>
      <c r="GR1" s="1006"/>
      <c r="GS1" s="1007"/>
      <c r="GT1" s="1005"/>
      <c r="GU1" s="1005"/>
      <c r="GV1" s="1006"/>
      <c r="GW1" s="1007"/>
      <c r="GX1" s="1005"/>
      <c r="GY1" s="1005"/>
      <c r="GZ1" s="1006"/>
      <c r="HA1" s="1007"/>
      <c r="HB1" s="1005"/>
      <c r="HC1" s="1005"/>
      <c r="HD1" s="1006"/>
      <c r="HE1" s="1007"/>
      <c r="HF1" s="1005"/>
      <c r="HG1" s="1005"/>
      <c r="HH1" s="1006"/>
      <c r="HI1" s="1007"/>
      <c r="HJ1" s="1005"/>
      <c r="HK1" s="1005"/>
      <c r="HL1" s="1006"/>
      <c r="HM1" s="1007"/>
      <c r="HN1" s="1005"/>
      <c r="HO1" s="1005"/>
      <c r="HP1" s="1006"/>
      <c r="HQ1" s="1007"/>
      <c r="HR1" s="1005"/>
      <c r="HS1" s="1005"/>
      <c r="HT1" s="1006"/>
      <c r="HU1" s="1007"/>
      <c r="HV1" s="1005"/>
      <c r="HW1" s="1005"/>
      <c r="HX1" s="1006"/>
      <c r="HY1" s="1007"/>
      <c r="HZ1" s="1005"/>
      <c r="IA1" s="1005"/>
      <c r="IB1" s="1006"/>
      <c r="IC1" s="1007"/>
      <c r="ID1" s="1005"/>
      <c r="IE1" s="1005"/>
      <c r="IF1" s="1006"/>
      <c r="IG1" s="1007"/>
      <c r="IH1" s="1005"/>
      <c r="II1" s="1005"/>
      <c r="IJ1" s="1006"/>
      <c r="IK1" s="1007"/>
      <c r="IL1" s="1005"/>
      <c r="IM1" s="1005"/>
      <c r="IN1" s="1006"/>
      <c r="IO1" s="1007"/>
      <c r="IP1" s="1005"/>
      <c r="IQ1" s="1005"/>
      <c r="IR1" s="1006"/>
      <c r="IS1" s="1007"/>
      <c r="IT1" s="1005"/>
      <c r="IU1" s="1005"/>
      <c r="IV1" s="1006"/>
    </row>
    <row r="2" spans="1:6" s="44" customFormat="1" ht="18" customHeight="1">
      <c r="A2" s="991"/>
      <c r="B2" s="992"/>
      <c r="C2" s="992"/>
      <c r="D2" s="1004"/>
      <c r="F2" s="285"/>
    </row>
    <row r="3" spans="1:6" s="44" customFormat="1" ht="18.75">
      <c r="A3" s="998" t="s">
        <v>40</v>
      </c>
      <c r="B3" s="999"/>
      <c r="C3" s="999"/>
      <c r="D3" s="1000"/>
      <c r="F3" s="285"/>
    </row>
    <row r="4" spans="1:6" s="44" customFormat="1" ht="18.75">
      <c r="A4" s="998" t="s">
        <v>139</v>
      </c>
      <c r="B4" s="999"/>
      <c r="C4" s="999"/>
      <c r="D4" s="1000"/>
      <c r="F4" s="285"/>
    </row>
    <row r="5" spans="1:6" s="44" customFormat="1" ht="18.75">
      <c r="A5" s="998" t="str">
        <f>+'(9)Equity YTD4'!A4</f>
        <v>YTD PERIOD MARCH 31st, 2004</v>
      </c>
      <c r="B5" s="999"/>
      <c r="C5" s="999"/>
      <c r="D5" s="1000"/>
      <c r="F5" s="285"/>
    </row>
    <row r="6" spans="1:6" s="17" customFormat="1" ht="15" customHeight="1">
      <c r="A6" s="402"/>
      <c r="B6" s="501"/>
      <c r="C6" s="501"/>
      <c r="D6" s="502"/>
      <c r="F6" s="21"/>
    </row>
    <row r="7" spans="1:6" s="17" customFormat="1" ht="15">
      <c r="A7" s="403" t="s">
        <v>140</v>
      </c>
      <c r="B7" s="503" t="str">
        <f>+'Earned Incurred QTD-4'!B8</f>
        <v>3-31-07</v>
      </c>
      <c r="C7" s="504"/>
      <c r="D7" s="505"/>
      <c r="F7" s="286" t="s">
        <v>184</v>
      </c>
    </row>
    <row r="8" spans="1:6" s="17" customFormat="1" ht="15">
      <c r="A8" s="403"/>
      <c r="B8" s="506" t="s">
        <v>311</v>
      </c>
      <c r="C8" s="507"/>
      <c r="D8" s="508"/>
      <c r="F8" s="287" t="s">
        <v>15</v>
      </c>
    </row>
    <row r="9" spans="1:6" s="17" customFormat="1" ht="15">
      <c r="A9" s="404"/>
      <c r="B9" s="509" t="s">
        <v>87</v>
      </c>
      <c r="C9" s="510"/>
      <c r="D9" s="511"/>
      <c r="F9" s="21"/>
    </row>
    <row r="10" spans="1:6" s="17" customFormat="1" ht="15">
      <c r="A10" s="405" t="s">
        <v>141</v>
      </c>
      <c r="B10" s="512"/>
      <c r="C10" s="459" t="e">
        <f>'(7)Premiums YTD8'!G12</f>
        <v>#REF!</v>
      </c>
      <c r="D10" s="513"/>
      <c r="E10" s="126">
        <v>16190670</v>
      </c>
      <c r="F10" s="21">
        <v>41000</v>
      </c>
    </row>
    <row r="11" spans="1:6" s="17" customFormat="1" ht="15">
      <c r="A11" s="405"/>
      <c r="B11" s="512"/>
      <c r="C11" s="458"/>
      <c r="D11" s="513"/>
      <c r="F11" s="21"/>
    </row>
    <row r="12" spans="1:6" s="17" customFormat="1" ht="15">
      <c r="A12" s="406" t="s">
        <v>142</v>
      </c>
      <c r="B12" s="491" t="e">
        <f>'(7)Premiums YTD8'!G18</f>
        <v>#REF!</v>
      </c>
      <c r="C12" s="121"/>
      <c r="D12" s="492"/>
      <c r="F12" s="21"/>
    </row>
    <row r="13" spans="1:6" s="17" customFormat="1" ht="15">
      <c r="A13" s="406" t="s">
        <v>161</v>
      </c>
      <c r="B13" s="493">
        <v>8897126</v>
      </c>
      <c r="C13" s="121"/>
      <c r="D13" s="492"/>
      <c r="F13" s="21"/>
    </row>
    <row r="14" spans="1:6" s="17" customFormat="1" ht="15" customHeight="1">
      <c r="A14" s="406" t="s">
        <v>162</v>
      </c>
      <c r="B14" s="491"/>
      <c r="C14" s="494" t="e">
        <f>B13-B12</f>
        <v>#REF!</v>
      </c>
      <c r="D14" s="492"/>
      <c r="F14" s="21">
        <v>41100</v>
      </c>
    </row>
    <row r="15" spans="1:6" s="17" customFormat="1" ht="15" customHeight="1">
      <c r="A15" s="405" t="s">
        <v>163</v>
      </c>
      <c r="B15" s="491"/>
      <c r="C15" s="121"/>
      <c r="D15" s="545" t="e">
        <f>C10+C14</f>
        <v>#REF!</v>
      </c>
      <c r="E15" s="126" t="e">
        <f>+'(7)Premiums YTD8'!G30</f>
        <v>#REF!</v>
      </c>
      <c r="F15" s="21"/>
    </row>
    <row r="16" spans="1:6" s="17" customFormat="1" ht="15">
      <c r="A16" s="406" t="s">
        <v>164</v>
      </c>
      <c r="B16" s="491"/>
      <c r="C16" s="121">
        <f>+'[1]TB03-31-04(Final)'!G384</f>
        <v>3791762.3499999996</v>
      </c>
      <c r="D16" s="492"/>
      <c r="F16" s="21" t="s">
        <v>185</v>
      </c>
    </row>
    <row r="17" spans="1:6" s="17" customFormat="1" ht="15">
      <c r="A17" s="406" t="s">
        <v>165</v>
      </c>
      <c r="B17" s="491"/>
      <c r="C17" s="494">
        <f>-'[1]TB03-31-04(Final)'!G405+1</f>
        <v>8001.969999999999</v>
      </c>
      <c r="D17" s="492"/>
      <c r="F17" s="21">
        <v>51108</v>
      </c>
    </row>
    <row r="18" spans="1:6" s="17" customFormat="1" ht="15">
      <c r="A18" s="405" t="s">
        <v>166</v>
      </c>
      <c r="B18" s="491"/>
      <c r="C18" s="121">
        <f>C16-C17</f>
        <v>3783760.3799999994</v>
      </c>
      <c r="D18" s="492"/>
      <c r="F18" s="21"/>
    </row>
    <row r="19" spans="1:6" s="17" customFormat="1" ht="15">
      <c r="A19" s="406" t="s">
        <v>167</v>
      </c>
      <c r="B19" s="491" t="e">
        <f>'(6)Losses Incurred YTD10'!H18</f>
        <v>#REF!</v>
      </c>
      <c r="C19" s="121" t="s">
        <v>87</v>
      </c>
      <c r="D19" s="492"/>
      <c r="F19" s="21"/>
    </row>
    <row r="20" spans="1:6" s="17" customFormat="1" ht="15">
      <c r="A20" s="406" t="s">
        <v>168</v>
      </c>
      <c r="B20" s="493">
        <v>5587477</v>
      </c>
      <c r="C20" s="121"/>
      <c r="D20" s="492"/>
      <c r="F20" s="21"/>
    </row>
    <row r="21" spans="1:6" s="17" customFormat="1" ht="15">
      <c r="A21" s="406" t="s">
        <v>169</v>
      </c>
      <c r="B21" s="496"/>
      <c r="C21" s="494" t="e">
        <f>B19-B20</f>
        <v>#REF!</v>
      </c>
      <c r="D21" s="492"/>
      <c r="F21" s="21" t="s">
        <v>186</v>
      </c>
    </row>
    <row r="22" spans="1:6" s="17" customFormat="1" ht="15">
      <c r="A22" s="405" t="s">
        <v>170</v>
      </c>
      <c r="B22" s="491"/>
      <c r="C22" s="121"/>
      <c r="D22" s="492" t="e">
        <f>C18+C21</f>
        <v>#REF!</v>
      </c>
      <c r="E22" s="47" t="e">
        <f>+'(6)Losses Incurred YTD10'!H30</f>
        <v>#REF!</v>
      </c>
      <c r="F22" s="21"/>
    </row>
    <row r="23" spans="1:6" s="17" customFormat="1" ht="15">
      <c r="A23" s="406" t="s">
        <v>171</v>
      </c>
      <c r="B23" s="491"/>
      <c r="C23" s="121">
        <f>+'[1]TB03-31-04(Final)'!G486</f>
        <v>292907.87</v>
      </c>
      <c r="D23" s="492"/>
      <c r="E23" s="108"/>
      <c r="F23" s="21">
        <v>51200</v>
      </c>
    </row>
    <row r="24" spans="1:6" s="17" customFormat="1" ht="15">
      <c r="A24" s="406" t="s">
        <v>172</v>
      </c>
      <c r="B24" s="491"/>
      <c r="C24" s="494">
        <f>+'[1]TB03-31-04(Final)'!G547</f>
        <v>139421.58999999997</v>
      </c>
      <c r="D24" s="492"/>
      <c r="F24" s="21">
        <v>51300</v>
      </c>
    </row>
    <row r="25" spans="1:6" s="17" customFormat="1" ht="15">
      <c r="A25" s="405" t="s">
        <v>173</v>
      </c>
      <c r="B25" s="491"/>
      <c r="C25" s="121">
        <f>C23+C24</f>
        <v>432329.45999999996</v>
      </c>
      <c r="D25" s="492"/>
      <c r="F25" s="21"/>
    </row>
    <row r="26" spans="1:6" s="17" customFormat="1" ht="15">
      <c r="A26" s="406" t="s">
        <v>174</v>
      </c>
      <c r="B26" s="491" t="e">
        <f>'(4)Loss Expenses YTD12'!H18</f>
        <v>#REF!</v>
      </c>
      <c r="C26" s="121"/>
      <c r="D26" s="492"/>
      <c r="F26" s="21"/>
    </row>
    <row r="27" spans="1:9" s="17" customFormat="1" ht="15">
      <c r="A27" s="406" t="s">
        <v>175</v>
      </c>
      <c r="B27" s="493">
        <v>474837</v>
      </c>
      <c r="C27" s="121"/>
      <c r="D27" s="492"/>
      <c r="F27" s="21"/>
      <c r="I27" s="121">
        <f>31050</f>
        <v>31050</v>
      </c>
    </row>
    <row r="28" spans="1:9" s="17" customFormat="1" ht="15">
      <c r="A28" s="406" t="s">
        <v>176</v>
      </c>
      <c r="B28" s="491"/>
      <c r="C28" s="494" t="e">
        <f>B26-B27</f>
        <v>#REF!</v>
      </c>
      <c r="D28" s="492"/>
      <c r="F28" s="21" t="s">
        <v>187</v>
      </c>
      <c r="I28" s="121">
        <f>20347.1</f>
        <v>20347.1</v>
      </c>
    </row>
    <row r="29" spans="1:9" s="17" customFormat="1" ht="15">
      <c r="A29" s="405" t="s">
        <v>177</v>
      </c>
      <c r="B29" s="491"/>
      <c r="C29" s="121"/>
      <c r="D29" s="495" t="e">
        <f>C25+C28</f>
        <v>#REF!</v>
      </c>
      <c r="E29" s="47" t="e">
        <f>+'(4)Loss Expenses YTD12'!H30</f>
        <v>#REF!</v>
      </c>
      <c r="F29" s="21"/>
      <c r="I29" s="121">
        <f>6478.27</f>
        <v>6478.27</v>
      </c>
    </row>
    <row r="30" spans="1:9" s="17" customFormat="1" ht="15">
      <c r="A30" s="405" t="s">
        <v>178</v>
      </c>
      <c r="B30" s="491"/>
      <c r="C30" s="121"/>
      <c r="D30" s="497" t="e">
        <f>D22+D29</f>
        <v>#REF!</v>
      </c>
      <c r="F30" s="21"/>
      <c r="I30" s="121">
        <f>23108.63</f>
        <v>23108.63</v>
      </c>
    </row>
    <row r="31" spans="1:9" s="17" customFormat="1" ht="15">
      <c r="A31" s="406" t="s">
        <v>179</v>
      </c>
      <c r="B31" s="491"/>
      <c r="C31" s="121">
        <f>23108.63+6478.27+20347.1+10350+20700+1200+600</f>
        <v>82784</v>
      </c>
      <c r="D31" s="492"/>
      <c r="F31" s="21"/>
      <c r="I31" s="121">
        <f>SUM(I27:I30)</f>
        <v>80984</v>
      </c>
    </row>
    <row r="32" spans="1:6" s="17" customFormat="1" ht="15">
      <c r="A32" s="406" t="s">
        <v>180</v>
      </c>
      <c r="B32" s="491">
        <f>+'Balance Sheet-1'!D35</f>
        <v>42846</v>
      </c>
      <c r="C32" s="121"/>
      <c r="D32" s="492"/>
      <c r="F32" s="21">
        <v>24000</v>
      </c>
    </row>
    <row r="33" spans="1:6" s="17" customFormat="1" ht="15">
      <c r="A33" s="406" t="s">
        <v>181</v>
      </c>
      <c r="B33" s="493">
        <v>46320</v>
      </c>
      <c r="C33" s="121" t="s">
        <v>87</v>
      </c>
      <c r="D33" s="492"/>
      <c r="F33" s="21"/>
    </row>
    <row r="34" spans="1:6" s="17" customFormat="1" ht="15">
      <c r="A34" s="406" t="s">
        <v>182</v>
      </c>
      <c r="B34" s="491"/>
      <c r="C34" s="494">
        <f>B32-B33</f>
        <v>-3474</v>
      </c>
      <c r="D34" s="492"/>
      <c r="F34" s="21"/>
    </row>
    <row r="35" spans="1:6" s="17" customFormat="1" ht="15" hidden="1">
      <c r="A35" s="406"/>
      <c r="B35" s="491"/>
      <c r="C35" s="121"/>
      <c r="D35" s="492"/>
      <c r="F35" s="21"/>
    </row>
    <row r="36" spans="1:10" s="17" customFormat="1" ht="15" customHeight="1">
      <c r="A36" s="405" t="s">
        <v>183</v>
      </c>
      <c r="B36" s="491"/>
      <c r="C36" s="121" t="s">
        <v>87</v>
      </c>
      <c r="D36" s="492">
        <f>SUM(C31:C35)</f>
        <v>79310</v>
      </c>
      <c r="E36" s="252">
        <f>+'[1]TB03-31-04(Final)'!G644</f>
        <v>22313.94</v>
      </c>
      <c r="F36" s="21">
        <v>64000</v>
      </c>
      <c r="I36" s="17">
        <v>97598.57</v>
      </c>
      <c r="J36" s="113">
        <f>+D36-I36</f>
        <v>-18288.570000000007</v>
      </c>
    </row>
    <row r="37" spans="1:6" s="17" customFormat="1" ht="13.5" customHeight="1">
      <c r="A37" s="399" t="s">
        <v>391</v>
      </c>
      <c r="B37" s="491"/>
      <c r="C37" s="126"/>
      <c r="D37" s="498">
        <f>+'[1]TB03-31-04(Final)'!G630</f>
        <v>528557.35</v>
      </c>
      <c r="F37" s="21" t="s">
        <v>188</v>
      </c>
    </row>
    <row r="38" spans="1:6" s="17" customFormat="1" ht="13.5" customHeight="1">
      <c r="A38" s="399" t="s">
        <v>42</v>
      </c>
      <c r="B38" s="491"/>
      <c r="C38" s="121">
        <f>+'[1]TB03-31-04(Final)'!G635+'[1]TB03-31-04(Final)'!G639+'[1]TB03-31-04(Final)'!G647</f>
        <v>108491.93</v>
      </c>
      <c r="D38" s="492"/>
      <c r="F38" s="21" t="s">
        <v>189</v>
      </c>
    </row>
    <row r="39" spans="1:9" s="17" customFormat="1" ht="15">
      <c r="A39" s="399" t="s">
        <v>437</v>
      </c>
      <c r="B39" s="491"/>
      <c r="C39" s="541">
        <f>+'[1]TB03-31-04(Final)'!G1005-'(8)Earned Incurred YTD6'!C43</f>
        <v>995251.8099999997</v>
      </c>
      <c r="D39" s="492"/>
      <c r="E39" s="119"/>
      <c r="F39" s="21" t="s">
        <v>190</v>
      </c>
      <c r="I39" s="147"/>
    </row>
    <row r="40" spans="1:9" s="17" customFormat="1" ht="15">
      <c r="A40" s="398" t="s">
        <v>438</v>
      </c>
      <c r="B40" s="491"/>
      <c r="C40" s="542">
        <f>SUM(C38:C39)-1</f>
        <v>1103742.7399999998</v>
      </c>
      <c r="D40" s="492"/>
      <c r="E40" s="119"/>
      <c r="F40" s="21"/>
      <c r="I40" s="147"/>
    </row>
    <row r="41" spans="1:6" s="17" customFormat="1" ht="15">
      <c r="A41" s="399" t="s">
        <v>180</v>
      </c>
      <c r="B41" s="491">
        <f>-'[1]TB03-31-04(Final)'!G217</f>
        <v>330321.9</v>
      </c>
      <c r="C41" s="121"/>
      <c r="D41" s="492"/>
      <c r="F41" s="21"/>
    </row>
    <row r="42" spans="1:6" s="17" customFormat="1" ht="15">
      <c r="A42" s="399" t="s">
        <v>181</v>
      </c>
      <c r="B42" s="493">
        <v>356304</v>
      </c>
      <c r="C42" s="121" t="s">
        <v>87</v>
      </c>
      <c r="D42" s="492"/>
      <c r="F42" s="21"/>
    </row>
    <row r="43" spans="1:6" s="17" customFormat="1" ht="15">
      <c r="A43" s="399" t="s">
        <v>439</v>
      </c>
      <c r="B43" s="491"/>
      <c r="C43" s="494">
        <f>B41-B42</f>
        <v>-25982.099999999977</v>
      </c>
      <c r="D43" s="492"/>
      <c r="E43" s="237">
        <f>+C38+C39+C43</f>
        <v>1077761.6399999997</v>
      </c>
      <c r="F43" s="21"/>
    </row>
    <row r="44" spans="1:6" s="17" customFormat="1" ht="15">
      <c r="A44" s="398" t="s">
        <v>41</v>
      </c>
      <c r="B44" s="491"/>
      <c r="C44" s="121"/>
      <c r="D44" s="495">
        <f>SUM(C40:C43)+2</f>
        <v>1077762.6399999997</v>
      </c>
      <c r="E44" s="119"/>
      <c r="F44" s="21"/>
    </row>
    <row r="45" spans="1:6" s="17" customFormat="1" ht="15">
      <c r="A45" s="398" t="s">
        <v>440</v>
      </c>
      <c r="B45" s="491"/>
      <c r="C45" s="121"/>
      <c r="D45" s="540">
        <f>SUM(D36:D44)</f>
        <v>1685629.9899999998</v>
      </c>
      <c r="E45" s="119"/>
      <c r="F45" s="21"/>
    </row>
    <row r="46" spans="1:10" s="17" customFormat="1" ht="15">
      <c r="A46" s="398" t="s">
        <v>441</v>
      </c>
      <c r="B46" s="491"/>
      <c r="C46" s="121"/>
      <c r="D46" s="499" t="e">
        <f>SUM(D30:D44)</f>
        <v>#REF!</v>
      </c>
      <c r="F46" s="21"/>
      <c r="I46" s="17">
        <v>22008562.28</v>
      </c>
      <c r="J46" s="113" t="e">
        <f>+D46-I46</f>
        <v>#REF!</v>
      </c>
    </row>
    <row r="47" spans="1:6" s="17" customFormat="1" ht="15">
      <c r="A47" s="405" t="s">
        <v>315</v>
      </c>
      <c r="B47" s="491"/>
      <c r="C47" s="121"/>
      <c r="D47" s="573" t="e">
        <f>D15-D46</f>
        <v>#REF!</v>
      </c>
      <c r="F47" s="21"/>
    </row>
    <row r="48" spans="1:6" s="17" customFormat="1" ht="15">
      <c r="A48" s="406" t="s">
        <v>23</v>
      </c>
      <c r="B48" s="491"/>
      <c r="C48" s="121">
        <f>-'[1]TB03-31-04(Final)'!G356-'[1]TB03-31-04(Final)'!G343-'[1]TB03-31-04(Final)'!F347+'(8)Earned Incurred YTD6'!B50</f>
        <v>44581.64</v>
      </c>
      <c r="D48" s="492"/>
      <c r="F48" s="21" t="s">
        <v>192</v>
      </c>
    </row>
    <row r="49" spans="1:6" s="17" customFormat="1" ht="15">
      <c r="A49" s="406" t="s">
        <v>197</v>
      </c>
      <c r="B49" s="491">
        <f>+'[1]TB03-31-04(Final)'!G25</f>
        <v>10038.47</v>
      </c>
      <c r="C49" s="121"/>
      <c r="D49" s="492"/>
      <c r="F49" s="21">
        <v>12150</v>
      </c>
    </row>
    <row r="50" spans="1:6" s="17" customFormat="1" ht="15">
      <c r="A50" s="406" t="s">
        <v>198</v>
      </c>
      <c r="B50" s="493">
        <v>17084</v>
      </c>
      <c r="C50" s="121" t="s">
        <v>87</v>
      </c>
      <c r="D50" s="492"/>
      <c r="F50" s="21"/>
    </row>
    <row r="51" spans="1:6" s="17" customFormat="1" ht="15">
      <c r="A51" s="406" t="s">
        <v>199</v>
      </c>
      <c r="B51" s="491"/>
      <c r="C51" s="494">
        <f>B49-B50</f>
        <v>-7045.530000000001</v>
      </c>
      <c r="D51" s="497"/>
      <c r="F51" s="21"/>
    </row>
    <row r="52" spans="1:9" s="17" customFormat="1" ht="15">
      <c r="A52" s="405" t="s">
        <v>24</v>
      </c>
      <c r="B52" s="491"/>
      <c r="C52" s="121"/>
      <c r="D52" s="500">
        <f>C48+C51</f>
        <v>37536.11</v>
      </c>
      <c r="E52" s="252">
        <f>+'[1]TB03-31-04(Final)'!G348</f>
        <v>-29950.73</v>
      </c>
      <c r="F52" s="21" t="s">
        <v>191</v>
      </c>
      <c r="I52" s="147"/>
    </row>
    <row r="53" spans="1:10" s="17" customFormat="1" ht="15">
      <c r="A53" s="407"/>
      <c r="B53" s="512"/>
      <c r="C53" s="351"/>
      <c r="D53" s="516"/>
      <c r="F53" s="21"/>
      <c r="J53" s="113"/>
    </row>
    <row r="54" spans="1:9" s="17" customFormat="1" ht="15">
      <c r="A54" s="408" t="s">
        <v>316</v>
      </c>
      <c r="B54" s="514"/>
      <c r="C54" s="515"/>
      <c r="D54" s="517" t="e">
        <f>D47+D52</f>
        <v>#REF!</v>
      </c>
      <c r="F54" s="21" t="s">
        <v>317</v>
      </c>
      <c r="I54" s="126"/>
    </row>
    <row r="55" spans="1:9" s="17" customFormat="1" ht="15.75" customHeight="1">
      <c r="A55" s="46"/>
      <c r="B55" s="351"/>
      <c r="C55" s="351"/>
      <c r="D55" s="24">
        <v>2596189.92</v>
      </c>
      <c r="E55" s="119" t="e">
        <f>+D54-#REF!</f>
        <v>#REF!</v>
      </c>
      <c r="F55" s="336" t="e">
        <f>+'Income Statement-2'!#REF!</f>
        <v>#REF!</v>
      </c>
      <c r="I55" s="126"/>
    </row>
    <row r="56" spans="2:10" s="17" customFormat="1" ht="20.25" customHeight="1">
      <c r="B56" s="475"/>
      <c r="C56" s="475"/>
      <c r="D56" s="475" t="e">
        <f>+D54+D55</f>
        <v>#REF!</v>
      </c>
      <c r="E56" s="119" t="e">
        <f>+#REF!+D56</f>
        <v>#REF!</v>
      </c>
      <c r="F56" s="21"/>
      <c r="I56" s="113"/>
      <c r="J56" s="113"/>
    </row>
    <row r="57" spans="1:10" s="17" customFormat="1" ht="15">
      <c r="A57" s="1008"/>
      <c r="B57" s="1009"/>
      <c r="C57" s="1009"/>
      <c r="D57" s="1009"/>
      <c r="F57" s="21"/>
      <c r="J57" s="113"/>
    </row>
    <row r="58" spans="1:6" s="17" customFormat="1" ht="15">
      <c r="A58" s="143"/>
      <c r="B58" s="518"/>
      <c r="C58" s="519"/>
      <c r="D58" s="519"/>
      <c r="F58" s="21"/>
    </row>
    <row r="59" spans="1:6" s="17" customFormat="1" ht="15">
      <c r="A59" s="997" t="s">
        <v>368</v>
      </c>
      <c r="B59" s="997"/>
      <c r="C59" s="997"/>
      <c r="D59" s="519"/>
      <c r="F59" s="21"/>
    </row>
    <row r="60" spans="1:6" s="17" customFormat="1" ht="15">
      <c r="A60" s="46"/>
      <c r="B60" s="475"/>
      <c r="C60" s="520"/>
      <c r="D60" s="520"/>
      <c r="F60" s="21"/>
    </row>
    <row r="61" spans="1:6" s="17" customFormat="1" ht="15">
      <c r="A61" s="46"/>
      <c r="B61" s="475"/>
      <c r="C61" s="520"/>
      <c r="D61" s="520"/>
      <c r="F61" s="21"/>
    </row>
    <row r="62" spans="1:6" s="17" customFormat="1" ht="15">
      <c r="A62" s="46"/>
      <c r="B62" s="475"/>
      <c r="C62" s="520"/>
      <c r="D62" s="520"/>
      <c r="F62" s="21"/>
    </row>
    <row r="63" spans="1:6" s="17" customFormat="1" ht="15">
      <c r="A63" s="46"/>
      <c r="B63" s="475"/>
      <c r="C63" s="520"/>
      <c r="D63" s="520"/>
      <c r="F63" s="21"/>
    </row>
    <row r="64" spans="1:6" s="17" customFormat="1" ht="15">
      <c r="A64" s="114"/>
      <c r="B64" s="475"/>
      <c r="C64" s="521"/>
      <c r="D64" s="521"/>
      <c r="F64" s="21"/>
    </row>
    <row r="65" spans="1:6" s="17" customFormat="1" ht="15">
      <c r="A65" s="114"/>
      <c r="B65" s="351"/>
      <c r="C65" s="521"/>
      <c r="D65" s="521"/>
      <c r="F65" s="21"/>
    </row>
    <row r="66" spans="1:6" s="17" customFormat="1" ht="15">
      <c r="A66" s="114"/>
      <c r="B66" s="475"/>
      <c r="C66" s="521"/>
      <c r="D66" s="521"/>
      <c r="F66" s="21"/>
    </row>
    <row r="67" spans="1:6" s="17" customFormat="1" ht="15">
      <c r="A67" s="114"/>
      <c r="B67" s="475"/>
      <c r="C67" s="521"/>
      <c r="D67" s="521"/>
      <c r="F67" s="21"/>
    </row>
    <row r="68" spans="2:6" s="17" customFormat="1" ht="15">
      <c r="B68" s="475"/>
      <c r="C68" s="521"/>
      <c r="D68" s="521"/>
      <c r="F68" s="21"/>
    </row>
    <row r="69" spans="1:6" s="17" customFormat="1" ht="15">
      <c r="A69" s="114"/>
      <c r="B69" s="475"/>
      <c r="C69" s="521"/>
      <c r="D69" s="475"/>
      <c r="F69" s="21"/>
    </row>
    <row r="70" spans="1:6" s="17" customFormat="1" ht="15">
      <c r="A70" s="114"/>
      <c r="B70" s="475"/>
      <c r="C70" s="521"/>
      <c r="D70" s="475"/>
      <c r="F70" s="21"/>
    </row>
    <row r="71" spans="1:6" s="17" customFormat="1" ht="15">
      <c r="A71" s="120"/>
      <c r="B71" s="475"/>
      <c r="C71" s="521"/>
      <c r="D71" s="475"/>
      <c r="F71" s="21"/>
    </row>
    <row r="72" spans="1:6" s="17" customFormat="1" ht="15">
      <c r="A72" s="114"/>
      <c r="B72" s="351"/>
      <c r="C72" s="521"/>
      <c r="D72" s="522"/>
      <c r="F72" s="21"/>
    </row>
    <row r="73" spans="1:6" s="17" customFormat="1" ht="15">
      <c r="A73" s="114"/>
      <c r="B73" s="521"/>
      <c r="C73" s="523"/>
      <c r="D73" s="351"/>
      <c r="F73" s="21"/>
    </row>
    <row r="74" spans="1:6" s="17" customFormat="1" ht="15">
      <c r="A74" s="46"/>
      <c r="B74" s="351"/>
      <c r="C74" s="351"/>
      <c r="D74" s="351"/>
      <c r="F74" s="21"/>
    </row>
    <row r="75" spans="1:6" s="17" customFormat="1" ht="15">
      <c r="A75" s="46"/>
      <c r="B75" s="351"/>
      <c r="C75" s="351"/>
      <c r="D75" s="351"/>
      <c r="F75" s="21"/>
    </row>
    <row r="76" spans="1:6" s="17" customFormat="1" ht="15">
      <c r="A76" s="46"/>
      <c r="B76" s="351"/>
      <c r="C76" s="351"/>
      <c r="D76" s="351"/>
      <c r="F76" s="21"/>
    </row>
    <row r="77" spans="1:6" s="17" customFormat="1" ht="15">
      <c r="A77" s="46"/>
      <c r="B77" s="351"/>
      <c r="C77" s="351"/>
      <c r="D77" s="351"/>
      <c r="F77" s="21"/>
    </row>
    <row r="78" spans="1:6" s="17" customFormat="1" ht="15">
      <c r="A78" s="46"/>
      <c r="B78" s="351"/>
      <c r="C78" s="351"/>
      <c r="D78" s="351"/>
      <c r="F78" s="21"/>
    </row>
    <row r="79" spans="1:6" s="17" customFormat="1" ht="15">
      <c r="A79" s="46"/>
      <c r="B79" s="351"/>
      <c r="C79" s="351"/>
      <c r="D79" s="351"/>
      <c r="F79" s="21"/>
    </row>
    <row r="80" spans="1:6" s="17" customFormat="1" ht="15">
      <c r="A80" s="46"/>
      <c r="B80" s="351"/>
      <c r="C80" s="351"/>
      <c r="D80" s="351"/>
      <c r="F80" s="21"/>
    </row>
    <row r="81" spans="1:6" s="17" customFormat="1" ht="15">
      <c r="A81" s="46"/>
      <c r="B81" s="351"/>
      <c r="C81" s="351"/>
      <c r="D81" s="351"/>
      <c r="F81" s="21"/>
    </row>
    <row r="82" spans="1:6" s="17" customFormat="1" ht="15">
      <c r="A82" s="46"/>
      <c r="B82" s="351"/>
      <c r="C82" s="351"/>
      <c r="D82" s="351"/>
      <c r="F82" s="21"/>
    </row>
    <row r="83" spans="1:6" s="17" customFormat="1" ht="15">
      <c r="A83" s="46"/>
      <c r="B83" s="351"/>
      <c r="C83" s="351"/>
      <c r="D83" s="351"/>
      <c r="F83" s="21"/>
    </row>
    <row r="84" spans="1:6" s="17" customFormat="1" ht="15">
      <c r="A84" s="46"/>
      <c r="B84" s="351"/>
      <c r="C84" s="351"/>
      <c r="D84" s="351"/>
      <c r="F84" s="21"/>
    </row>
    <row r="85" spans="1:6" s="17" customFormat="1" ht="15">
      <c r="A85" s="46"/>
      <c r="B85" s="475"/>
      <c r="C85" s="351"/>
      <c r="D85" s="475"/>
      <c r="F85" s="21"/>
    </row>
    <row r="86" spans="1:6" s="17" customFormat="1" ht="15">
      <c r="A86" s="46"/>
      <c r="B86" s="475"/>
      <c r="C86" s="475"/>
      <c r="D86" s="475"/>
      <c r="F86" s="21"/>
    </row>
    <row r="87" spans="1:6" s="17" customFormat="1" ht="15">
      <c r="A87" s="46"/>
      <c r="B87" s="475"/>
      <c r="C87" s="475"/>
      <c r="D87" s="475"/>
      <c r="F87" s="21"/>
    </row>
    <row r="88" spans="1:6" s="17" customFormat="1" ht="15">
      <c r="A88" s="46"/>
      <c r="B88" s="475"/>
      <c r="C88" s="475"/>
      <c r="D88" s="475"/>
      <c r="F88" s="21"/>
    </row>
    <row r="89" spans="1:6" s="17" customFormat="1" ht="15">
      <c r="A89" s="46"/>
      <c r="B89" s="475"/>
      <c r="C89" s="475"/>
      <c r="D89" s="475"/>
      <c r="F89" s="21"/>
    </row>
    <row r="90" spans="1:6" s="17" customFormat="1" ht="15">
      <c r="A90" s="46"/>
      <c r="B90" s="475"/>
      <c r="C90" s="475"/>
      <c r="D90" s="475"/>
      <c r="F90" s="21"/>
    </row>
    <row r="91" spans="1:6" s="17" customFormat="1" ht="15">
      <c r="A91" s="46"/>
      <c r="B91" s="475"/>
      <c r="C91" s="475"/>
      <c r="D91" s="475"/>
      <c r="F91" s="21"/>
    </row>
    <row r="92" spans="1:6" s="17" customFormat="1" ht="15">
      <c r="A92" s="46"/>
      <c r="B92" s="475"/>
      <c r="C92" s="475"/>
      <c r="D92" s="475"/>
      <c r="F92" s="21"/>
    </row>
    <row r="93" spans="1:6" s="17" customFormat="1" ht="15">
      <c r="A93" s="46"/>
      <c r="B93" s="475"/>
      <c r="C93" s="475"/>
      <c r="D93" s="475"/>
      <c r="F93" s="21"/>
    </row>
    <row r="94" spans="1:6" s="17" customFormat="1" ht="15">
      <c r="A94" s="46"/>
      <c r="B94" s="475"/>
      <c r="C94" s="475"/>
      <c r="D94" s="475"/>
      <c r="F94" s="21"/>
    </row>
    <row r="95" spans="1:6" s="17" customFormat="1" ht="15">
      <c r="A95" s="46"/>
      <c r="B95" s="475"/>
      <c r="C95" s="475"/>
      <c r="D95" s="475"/>
      <c r="F95" s="21"/>
    </row>
    <row r="96" spans="1:6" s="17" customFormat="1" ht="15">
      <c r="A96" s="46"/>
      <c r="B96" s="475"/>
      <c r="C96" s="475"/>
      <c r="D96" s="475"/>
      <c r="F96" s="21"/>
    </row>
    <row r="97" spans="1:6" s="17" customFormat="1" ht="15">
      <c r="A97" s="46"/>
      <c r="B97" s="475"/>
      <c r="C97" s="475"/>
      <c r="D97" s="475"/>
      <c r="F97" s="21"/>
    </row>
    <row r="98" spans="1:6" s="17" customFormat="1" ht="15">
      <c r="A98" s="46"/>
      <c r="B98" s="475"/>
      <c r="C98" s="475"/>
      <c r="D98" s="475"/>
      <c r="F98" s="21"/>
    </row>
    <row r="99" spans="1:6" s="17" customFormat="1" ht="15">
      <c r="A99" s="46"/>
      <c r="B99" s="475"/>
      <c r="C99" s="475"/>
      <c r="D99" s="475"/>
      <c r="F99" s="21"/>
    </row>
    <row r="100" spans="1:6" s="17" customFormat="1" ht="15">
      <c r="A100" s="46"/>
      <c r="B100" s="475"/>
      <c r="C100" s="475"/>
      <c r="D100" s="475"/>
      <c r="F100" s="21"/>
    </row>
    <row r="101" spans="1:6" s="17" customFormat="1" ht="15">
      <c r="A101" s="46"/>
      <c r="B101" s="475"/>
      <c r="C101" s="475"/>
      <c r="D101" s="475"/>
      <c r="F101" s="21"/>
    </row>
    <row r="102" spans="1:6" s="17" customFormat="1" ht="15">
      <c r="A102" s="46"/>
      <c r="B102" s="475"/>
      <c r="C102" s="475"/>
      <c r="D102" s="475"/>
      <c r="F102" s="21"/>
    </row>
    <row r="103" spans="1:6" s="17" customFormat="1" ht="15">
      <c r="A103" s="46"/>
      <c r="B103" s="475"/>
      <c r="C103" s="475"/>
      <c r="D103" s="475"/>
      <c r="F103" s="21"/>
    </row>
    <row r="104" spans="1:6" s="17" customFormat="1" ht="15">
      <c r="A104" s="46"/>
      <c r="B104" s="475"/>
      <c r="C104" s="475"/>
      <c r="D104" s="475"/>
      <c r="F104" s="21"/>
    </row>
    <row r="105" spans="1:6" s="17" customFormat="1" ht="15">
      <c r="A105" s="46"/>
      <c r="B105" s="524"/>
      <c r="C105" s="475"/>
      <c r="D105" s="524"/>
      <c r="F105" s="21"/>
    </row>
    <row r="106" spans="1:6" ht="15">
      <c r="A106" s="46"/>
      <c r="F106" s="21"/>
    </row>
    <row r="107" spans="1:6" ht="15">
      <c r="A107" s="46"/>
      <c r="F107" s="21"/>
    </row>
    <row r="108" spans="1:6" ht="15">
      <c r="A108" s="46"/>
      <c r="F108" s="21"/>
    </row>
    <row r="109" ht="15">
      <c r="A109" s="46"/>
    </row>
    <row r="110" ht="15">
      <c r="A110" s="46"/>
    </row>
    <row r="111" ht="15">
      <c r="A111" s="46"/>
    </row>
    <row r="112" ht="15">
      <c r="A112" s="46"/>
    </row>
    <row r="113" ht="15">
      <c r="A113" s="46"/>
    </row>
    <row r="114" ht="12.75">
      <c r="A114" s="48"/>
    </row>
    <row r="115" ht="12.75">
      <c r="A115" s="48"/>
    </row>
    <row r="116" ht="12.75">
      <c r="A116" s="48"/>
    </row>
    <row r="117" ht="12.75">
      <c r="A117" s="48"/>
    </row>
    <row r="118" ht="12.75">
      <c r="A118" s="48"/>
    </row>
    <row r="119" ht="12.75">
      <c r="A119" s="48"/>
    </row>
    <row r="120" ht="12.75">
      <c r="A120" s="48"/>
    </row>
    <row r="121" ht="12.75">
      <c r="A121" s="48"/>
    </row>
    <row r="122" ht="12.75">
      <c r="A122" s="48"/>
    </row>
    <row r="123" ht="12.75">
      <c r="A123" s="48"/>
    </row>
    <row r="124" ht="12.75">
      <c r="A124" s="48"/>
    </row>
    <row r="125" ht="12.75">
      <c r="A125" s="48"/>
    </row>
    <row r="126" ht="12.75">
      <c r="A126" s="48"/>
    </row>
    <row r="127" ht="12.75">
      <c r="A127" s="48"/>
    </row>
    <row r="128" ht="12.75">
      <c r="A128" s="48"/>
    </row>
    <row r="129" ht="12.75">
      <c r="A129" s="48"/>
    </row>
    <row r="130" ht="12.75">
      <c r="A130" s="48"/>
    </row>
    <row r="131" ht="12.75">
      <c r="A131" s="48"/>
    </row>
    <row r="132" ht="12.75">
      <c r="A132" s="48"/>
    </row>
    <row r="133" ht="12.75">
      <c r="A133" s="48"/>
    </row>
    <row r="134" ht="12.75">
      <c r="A134" s="48"/>
    </row>
    <row r="135" ht="12.75">
      <c r="A135" s="48"/>
    </row>
    <row r="136" ht="12.75">
      <c r="A136" s="48"/>
    </row>
    <row r="137" ht="12.75">
      <c r="A137" s="48"/>
    </row>
    <row r="138" ht="12.75">
      <c r="A138" s="48"/>
    </row>
    <row r="139" ht="12.75">
      <c r="A139" s="48"/>
    </row>
    <row r="140" ht="12.75">
      <c r="A140" s="48"/>
    </row>
    <row r="141" ht="12.75">
      <c r="A141" s="48"/>
    </row>
    <row r="142" ht="12.75">
      <c r="A142" s="48"/>
    </row>
    <row r="143" ht="12.75">
      <c r="A143" s="48"/>
    </row>
    <row r="144" ht="12.75">
      <c r="A144" s="48"/>
    </row>
    <row r="145" ht="12.75">
      <c r="A145" s="48"/>
    </row>
    <row r="146" ht="12.75">
      <c r="A146" s="48"/>
    </row>
    <row r="147" ht="12.75">
      <c r="A147" s="48"/>
    </row>
    <row r="148" ht="12.75">
      <c r="A148" s="48"/>
    </row>
    <row r="149" ht="12.75">
      <c r="A149" s="48"/>
    </row>
    <row r="150" ht="12.75">
      <c r="A150" s="48"/>
    </row>
    <row r="151" ht="12.75">
      <c r="A151" s="48"/>
    </row>
    <row r="152" ht="12.75">
      <c r="A152" s="48"/>
    </row>
    <row r="153" ht="12.75">
      <c r="A153" s="48"/>
    </row>
    <row r="154" ht="12.75">
      <c r="A154" s="48"/>
    </row>
  </sheetData>
  <mergeCells count="69">
    <mergeCell ref="IK1:IN1"/>
    <mergeCell ref="IO1:IR1"/>
    <mergeCell ref="IS1:IV1"/>
    <mergeCell ref="HU1:HX1"/>
    <mergeCell ref="HY1:IB1"/>
    <mergeCell ref="IC1:IF1"/>
    <mergeCell ref="IG1:IJ1"/>
    <mergeCell ref="HE1:HH1"/>
    <mergeCell ref="HI1:HL1"/>
    <mergeCell ref="HM1:HP1"/>
    <mergeCell ref="HQ1:HT1"/>
    <mergeCell ref="GO1:GR1"/>
    <mergeCell ref="GS1:GV1"/>
    <mergeCell ref="GW1:GZ1"/>
    <mergeCell ref="HA1:HD1"/>
    <mergeCell ref="FY1:GB1"/>
    <mergeCell ref="GC1:GF1"/>
    <mergeCell ref="GG1:GJ1"/>
    <mergeCell ref="GK1:GN1"/>
    <mergeCell ref="FI1:FL1"/>
    <mergeCell ref="FM1:FP1"/>
    <mergeCell ref="FQ1:FT1"/>
    <mergeCell ref="FU1:FX1"/>
    <mergeCell ref="ES1:EV1"/>
    <mergeCell ref="EW1:EZ1"/>
    <mergeCell ref="FA1:FD1"/>
    <mergeCell ref="FE1:FH1"/>
    <mergeCell ref="EC1:EF1"/>
    <mergeCell ref="EG1:EJ1"/>
    <mergeCell ref="EK1:EN1"/>
    <mergeCell ref="EO1:ER1"/>
    <mergeCell ref="DM1:DP1"/>
    <mergeCell ref="DQ1:DT1"/>
    <mergeCell ref="DU1:DX1"/>
    <mergeCell ref="DY1:EB1"/>
    <mergeCell ref="CW1:CZ1"/>
    <mergeCell ref="DA1:DD1"/>
    <mergeCell ref="DE1:DH1"/>
    <mergeCell ref="DI1:DL1"/>
    <mergeCell ref="CG1:CJ1"/>
    <mergeCell ref="CK1:CN1"/>
    <mergeCell ref="CO1:CR1"/>
    <mergeCell ref="CS1:CV1"/>
    <mergeCell ref="BQ1:BT1"/>
    <mergeCell ref="BU1:BX1"/>
    <mergeCell ref="BY1:CB1"/>
    <mergeCell ref="CC1:CF1"/>
    <mergeCell ref="BA1:BD1"/>
    <mergeCell ref="BE1:BH1"/>
    <mergeCell ref="BI1:BL1"/>
    <mergeCell ref="BM1:BP1"/>
    <mergeCell ref="AK1:AN1"/>
    <mergeCell ref="AO1:AR1"/>
    <mergeCell ref="AS1:AV1"/>
    <mergeCell ref="AW1:AZ1"/>
    <mergeCell ref="U1:X1"/>
    <mergeCell ref="Y1:AB1"/>
    <mergeCell ref="AC1:AF1"/>
    <mergeCell ref="AG1:AJ1"/>
    <mergeCell ref="E1:H1"/>
    <mergeCell ref="M1:P1"/>
    <mergeCell ref="Q1:T1"/>
    <mergeCell ref="A57:D57"/>
    <mergeCell ref="A59:C59"/>
    <mergeCell ref="A5:D5"/>
    <mergeCell ref="A1:D1"/>
    <mergeCell ref="A2:D2"/>
    <mergeCell ref="A3:D3"/>
    <mergeCell ref="A4:D4"/>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64" customWidth="1"/>
    <col min="9" max="9" width="11.421875" style="2" bestFit="1" customWidth="1"/>
    <col min="10" max="16384" width="9.140625" style="2" customWidth="1"/>
  </cols>
  <sheetData>
    <row r="1" spans="1:8" s="256" customFormat="1" ht="26.25">
      <c r="A1" s="418" t="s">
        <v>77</v>
      </c>
      <c r="B1" s="418"/>
      <c r="C1" s="418"/>
      <c r="D1" s="418"/>
      <c r="E1" s="418"/>
      <c r="F1" s="418"/>
      <c r="G1" s="419"/>
      <c r="H1" s="561"/>
    </row>
    <row r="2" spans="1:8" s="97" customFormat="1" ht="18" customHeight="1">
      <c r="A2" s="420"/>
      <c r="B2" s="421"/>
      <c r="C2" s="421"/>
      <c r="D2" s="421"/>
      <c r="E2" s="421"/>
      <c r="F2" s="421"/>
      <c r="G2" s="422"/>
      <c r="H2" s="562"/>
    </row>
    <row r="3" spans="1:8" s="97" customFormat="1" ht="18" customHeight="1">
      <c r="A3" s="423" t="s">
        <v>200</v>
      </c>
      <c r="B3" s="423"/>
      <c r="C3" s="423"/>
      <c r="D3" s="423"/>
      <c r="E3" s="423"/>
      <c r="F3" s="423"/>
      <c r="G3" s="422"/>
      <c r="H3" s="562"/>
    </row>
    <row r="4" spans="1:8" s="14" customFormat="1" ht="15">
      <c r="A4" s="423" t="str">
        <f>+'(8)Earned Incurred YTD6'!A5:D5</f>
        <v>YTD PERIOD MARCH 31st, 2004</v>
      </c>
      <c r="B4" s="423"/>
      <c r="C4" s="423"/>
      <c r="D4" s="423"/>
      <c r="E4" s="423"/>
      <c r="F4" s="423"/>
      <c r="G4" s="422"/>
      <c r="H4" s="563"/>
    </row>
    <row r="5" spans="1:8" s="14" customFormat="1" ht="15">
      <c r="A5" s="423"/>
      <c r="B5" s="423"/>
      <c r="C5" s="423"/>
      <c r="D5" s="423"/>
      <c r="E5" s="423"/>
      <c r="F5" s="423"/>
      <c r="G5" s="422"/>
      <c r="H5" s="563"/>
    </row>
    <row r="6" spans="1:8" s="14" customFormat="1" ht="15.75">
      <c r="A6" s="424"/>
      <c r="B6" s="424"/>
      <c r="C6" s="424"/>
      <c r="D6" s="424"/>
      <c r="E6" s="424"/>
      <c r="F6" s="424"/>
      <c r="G6" s="424"/>
      <c r="H6" s="563"/>
    </row>
    <row r="7" spans="1:8" s="14" customFormat="1" ht="29.25">
      <c r="A7" s="425"/>
      <c r="B7" s="426" t="s">
        <v>335</v>
      </c>
      <c r="C7" s="426" t="s">
        <v>339</v>
      </c>
      <c r="D7" s="426" t="s">
        <v>434</v>
      </c>
      <c r="E7" s="426" t="s">
        <v>39</v>
      </c>
      <c r="F7" s="426" t="s">
        <v>389</v>
      </c>
      <c r="G7" s="427" t="s">
        <v>78</v>
      </c>
      <c r="H7" s="563"/>
    </row>
    <row r="8" spans="1:7" ht="15.75">
      <c r="A8" s="428" t="s">
        <v>201</v>
      </c>
      <c r="B8" s="429"/>
      <c r="C8" s="429"/>
      <c r="D8" s="429"/>
      <c r="E8" s="429"/>
      <c r="F8" s="429"/>
      <c r="G8" s="429"/>
    </row>
    <row r="9" spans="1:8" s="98" customFormat="1" ht="15">
      <c r="A9" s="429" t="s">
        <v>270</v>
      </c>
      <c r="B9" s="454">
        <f>-SUM('[1]TB03-31-04(Final)'!F297)</f>
        <v>91475</v>
      </c>
      <c r="C9" s="454">
        <f>-SUM('[1]TB03-31-04(Final)'!F296)</f>
        <v>-3288</v>
      </c>
      <c r="D9" s="454">
        <f>-SUM('[1]TB03-31-04(Final)'!F295)</f>
        <v>0</v>
      </c>
      <c r="E9" s="530">
        <f>-SUM('[1]TB03-31-04(Final)'!F294)</f>
        <v>0</v>
      </c>
      <c r="F9" s="125">
        <f>-SUM('[1]TB03-31-04(Final)'!F293)</f>
        <v>0</v>
      </c>
      <c r="G9" s="525">
        <f>SUM(B9:F9)</f>
        <v>88187</v>
      </c>
      <c r="H9" s="565"/>
    </row>
    <row r="10" spans="1:8" ht="15.75">
      <c r="A10" s="429" t="s">
        <v>215</v>
      </c>
      <c r="B10" s="125">
        <f>-SUM('[1]TB03-31-04(Final)'!F306)</f>
        <v>27184</v>
      </c>
      <c r="C10" s="125">
        <f>-SUM('[1]TB03-31-04(Final)'!F305)</f>
        <v>-791</v>
      </c>
      <c r="D10" s="125">
        <f>-SUM('[1]TB03-31-04(Final)'!F304)</f>
        <v>0</v>
      </c>
      <c r="E10" s="125">
        <f>-SUM('[1]TB03-31-04(Final)'!F303)</f>
        <v>0</v>
      </c>
      <c r="F10" s="125">
        <f>-SUM('[1]TB03-31-04(Final)'!F302)</f>
        <v>0</v>
      </c>
      <c r="G10" s="528">
        <f>SUM(B10:F10)</f>
        <v>26393</v>
      </c>
      <c r="H10" s="565"/>
    </row>
    <row r="11" spans="1:22" ht="15.75">
      <c r="A11" s="429" t="s">
        <v>216</v>
      </c>
      <c r="B11" s="125">
        <f>-'[1]TB03-31-04(Final)'!F315</f>
        <v>-19</v>
      </c>
      <c r="C11" s="125">
        <f>-'[1]TB03-31-04(Final)'!F314</f>
        <v>1</v>
      </c>
      <c r="D11" s="125">
        <v>0</v>
      </c>
      <c r="E11" s="125" t="e">
        <f>-'[1]TB03-31-04(Final)'!F310</f>
        <v>#REF!</v>
      </c>
      <c r="F11" s="125" t="e">
        <f>-'[1]TB03-31-04(Final)'!F311</f>
        <v>#REF!</v>
      </c>
      <c r="G11" s="531" t="e">
        <f>SUM(B11:F11)</f>
        <v>#REF!</v>
      </c>
      <c r="H11" s="565"/>
      <c r="I11" s="99"/>
      <c r="J11" s="99"/>
      <c r="K11" s="99"/>
      <c r="L11" s="99"/>
      <c r="M11" s="99"/>
      <c r="N11" s="99"/>
      <c r="O11" s="99"/>
      <c r="P11" s="99"/>
      <c r="Q11" s="99"/>
      <c r="R11" s="99"/>
      <c r="S11" s="99"/>
      <c r="T11" s="99"/>
      <c r="U11" s="99"/>
      <c r="V11" s="99"/>
    </row>
    <row r="12" spans="1:22" s="4" customFormat="1" ht="16.5" thickBot="1">
      <c r="A12" s="430" t="s">
        <v>205</v>
      </c>
      <c r="B12" s="137">
        <f aca="true" t="shared" si="0" ref="B12:G12">SUM(B9:B11)</f>
        <v>118640</v>
      </c>
      <c r="C12" s="137">
        <f t="shared" si="0"/>
        <v>-4078</v>
      </c>
      <c r="D12" s="137">
        <f t="shared" si="0"/>
        <v>0</v>
      </c>
      <c r="E12" s="137" t="e">
        <f t="shared" si="0"/>
        <v>#REF!</v>
      </c>
      <c r="F12" s="137" t="e">
        <f t="shared" si="0"/>
        <v>#REF!</v>
      </c>
      <c r="G12" s="529" t="e">
        <f t="shared" si="0"/>
        <v>#REF!</v>
      </c>
      <c r="H12" s="298"/>
      <c r="I12" s="87"/>
      <c r="J12" s="87"/>
      <c r="K12" s="87"/>
      <c r="L12" s="87"/>
      <c r="M12" s="87"/>
      <c r="N12" s="87"/>
      <c r="O12" s="87"/>
      <c r="P12" s="87"/>
      <c r="Q12" s="87"/>
      <c r="R12" s="87"/>
      <c r="S12" s="87"/>
      <c r="T12" s="87"/>
      <c r="U12" s="87"/>
      <c r="V12" s="87"/>
    </row>
    <row r="13" spans="1:22" s="4" customFormat="1" ht="16.5" thickTop="1">
      <c r="A13" s="429"/>
      <c r="B13" s="125"/>
      <c r="C13" s="125"/>
      <c r="D13" s="125"/>
      <c r="E13" s="125"/>
      <c r="F13" s="125"/>
      <c r="G13" s="171"/>
      <c r="H13" s="253">
        <f>+'[1]TB03-31-04(Final)'!G317</f>
        <v>-5676242</v>
      </c>
      <c r="I13" s="100" t="e">
        <f>SUM(G9:G11)</f>
        <v>#REF!</v>
      </c>
      <c r="J13" s="87"/>
      <c r="K13" s="87"/>
      <c r="L13" s="87"/>
      <c r="M13" s="87"/>
      <c r="N13" s="87"/>
      <c r="O13" s="87"/>
      <c r="P13" s="87"/>
      <c r="Q13" s="87"/>
      <c r="R13" s="87"/>
      <c r="S13" s="87"/>
      <c r="T13" s="87"/>
      <c r="U13" s="87"/>
      <c r="V13" s="87"/>
    </row>
    <row r="14" spans="1:22" s="4" customFormat="1" ht="43.5">
      <c r="A14" s="428" t="s">
        <v>462</v>
      </c>
      <c r="B14" s="532"/>
      <c r="C14" s="532"/>
      <c r="D14" s="532"/>
      <c r="E14" s="532"/>
      <c r="F14" s="125"/>
      <c r="G14" s="125"/>
      <c r="H14" s="566"/>
      <c r="I14" s="87"/>
      <c r="J14" s="87"/>
      <c r="K14" s="87"/>
      <c r="L14" s="87"/>
      <c r="M14" s="87"/>
      <c r="N14" s="87"/>
      <c r="O14" s="87"/>
      <c r="P14" s="87"/>
      <c r="Q14" s="87"/>
      <c r="R14" s="87"/>
      <c r="S14" s="87"/>
      <c r="T14" s="87"/>
      <c r="U14" s="87"/>
      <c r="V14" s="87"/>
    </row>
    <row r="15" spans="1:22" s="4" customFormat="1" ht="15.75">
      <c r="A15" s="429" t="s">
        <v>270</v>
      </c>
      <c r="B15" s="125">
        <f>-'[1]TB03-31-04(Final)'!F51</f>
        <v>4674519</v>
      </c>
      <c r="C15" s="125">
        <f>-'[1]TB03-31-04(Final)'!F50</f>
        <v>0</v>
      </c>
      <c r="D15" s="125">
        <f>-'[1]TB03-31-04(Final)'!F49</f>
        <v>0</v>
      </c>
      <c r="E15" s="125" t="e">
        <f>-'[1]TB03-31-04(Final)'!F48</f>
        <v>#REF!</v>
      </c>
      <c r="F15" s="125">
        <v>0</v>
      </c>
      <c r="G15" s="528" t="e">
        <f>SUM(B15:F15)</f>
        <v>#REF!</v>
      </c>
      <c r="H15" s="298"/>
      <c r="I15" s="87"/>
      <c r="J15" s="87"/>
      <c r="K15" s="87"/>
      <c r="L15" s="87"/>
      <c r="M15" s="87"/>
      <c r="N15" s="87"/>
      <c r="O15" s="87"/>
      <c r="P15" s="87"/>
      <c r="Q15" s="87"/>
      <c r="R15" s="87"/>
      <c r="S15" s="87"/>
      <c r="T15" s="87"/>
      <c r="U15" s="87"/>
      <c r="V15" s="87"/>
    </row>
    <row r="16" spans="1:22" s="4" customFormat="1" ht="16.5" customHeight="1">
      <c r="A16" s="429" t="s">
        <v>215</v>
      </c>
      <c r="B16" s="125">
        <f>-'[1]TB03-31-04(Final)'!F57</f>
        <v>1490507</v>
      </c>
      <c r="C16" s="125">
        <f>-'[1]TB03-31-04(Final)'!F56</f>
        <v>0</v>
      </c>
      <c r="D16" s="125">
        <f>-'[1]TB03-31-04(Final)'!F55</f>
        <v>0</v>
      </c>
      <c r="E16" s="125" t="e">
        <f>-'[1]TB03-31-04(Final)'!F54</f>
        <v>#REF!</v>
      </c>
      <c r="F16" s="125" t="e">
        <f>-'[1]TB03-31-04(Final)'!F53</f>
        <v>#REF!</v>
      </c>
      <c r="G16" s="528" t="e">
        <f>SUM(B16:F16)</f>
        <v>#REF!</v>
      </c>
      <c r="H16" s="298"/>
      <c r="I16" s="87"/>
      <c r="J16" s="87"/>
      <c r="K16" s="87"/>
      <c r="L16" s="87"/>
      <c r="M16" s="87"/>
      <c r="N16" s="87"/>
      <c r="O16" s="87"/>
      <c r="P16" s="87"/>
      <c r="Q16" s="87"/>
      <c r="R16" s="87"/>
      <c r="S16" s="87"/>
      <c r="T16" s="87"/>
      <c r="U16" s="87"/>
      <c r="V16" s="87"/>
    </row>
    <row r="17" spans="1:22" s="4" customFormat="1" ht="15.75">
      <c r="A17" s="429" t="s">
        <v>216</v>
      </c>
      <c r="B17" s="125">
        <f>-'[1]TB03-31-04(Final)'!F63</f>
        <v>19657</v>
      </c>
      <c r="C17" s="125">
        <f>-'[1]TB03-31-04(Final)'!F62</f>
        <v>0</v>
      </c>
      <c r="D17" s="125">
        <f>-'[1]TB03-31-04(Final)'!F61</f>
        <v>0</v>
      </c>
      <c r="E17" s="125" t="e">
        <f>-'[1]TB03-31-04(Final)'!F60</f>
        <v>#REF!</v>
      </c>
      <c r="F17" s="125" t="e">
        <f>-'[1]TB03-31-04(Final)'!F59</f>
        <v>#REF!</v>
      </c>
      <c r="G17" s="528" t="e">
        <f>SUM(B17:F17)</f>
        <v>#REF!</v>
      </c>
      <c r="H17" s="298"/>
      <c r="I17" s="87"/>
      <c r="J17" s="87"/>
      <c r="K17" s="87"/>
      <c r="L17" s="87"/>
      <c r="M17" s="87"/>
      <c r="N17" s="87"/>
      <c r="O17" s="87"/>
      <c r="P17" s="87"/>
      <c r="Q17" s="87"/>
      <c r="R17" s="87"/>
      <c r="S17" s="87"/>
      <c r="T17" s="87"/>
      <c r="U17" s="87"/>
      <c r="V17" s="87"/>
    </row>
    <row r="18" spans="1:22" s="4" customFormat="1" ht="16.5" thickBot="1">
      <c r="A18" s="430" t="s">
        <v>205</v>
      </c>
      <c r="B18" s="137">
        <f aca="true" t="shared" si="1" ref="B18:G18">SUM(B15:B17)</f>
        <v>6184683</v>
      </c>
      <c r="C18" s="137">
        <f t="shared" si="1"/>
        <v>0</v>
      </c>
      <c r="D18" s="137">
        <f t="shared" si="1"/>
        <v>0</v>
      </c>
      <c r="E18" s="137" t="e">
        <f t="shared" si="1"/>
        <v>#REF!</v>
      </c>
      <c r="F18" s="137" t="e">
        <f t="shared" si="1"/>
        <v>#REF!</v>
      </c>
      <c r="G18" s="529" t="e">
        <f t="shared" si="1"/>
        <v>#REF!</v>
      </c>
      <c r="H18" s="298" t="e">
        <f>SUM(G15:G17)</f>
        <v>#REF!</v>
      </c>
      <c r="I18" s="87"/>
      <c r="J18" s="87"/>
      <c r="K18" s="87"/>
      <c r="L18" s="87"/>
      <c r="M18" s="87"/>
      <c r="N18" s="87"/>
      <c r="O18" s="87"/>
      <c r="P18" s="87"/>
      <c r="Q18" s="87"/>
      <c r="R18" s="87"/>
      <c r="S18" s="87"/>
      <c r="T18" s="87"/>
      <c r="U18" s="87"/>
      <c r="V18" s="87"/>
    </row>
    <row r="19" spans="1:22" s="4" customFormat="1" ht="16.5" thickTop="1">
      <c r="A19" s="429"/>
      <c r="B19" s="125"/>
      <c r="C19" s="125"/>
      <c r="D19" s="125"/>
      <c r="E19" s="125"/>
      <c r="F19" s="125"/>
      <c r="G19" s="309"/>
      <c r="H19" s="253" t="e">
        <f>+'[1]TB03-31-04(Final)'!G63</f>
        <v>#REF!</v>
      </c>
      <c r="I19" s="87"/>
      <c r="J19" s="87"/>
      <c r="K19" s="87"/>
      <c r="L19" s="87"/>
      <c r="M19" s="87"/>
      <c r="N19" s="87"/>
      <c r="O19" s="87"/>
      <c r="P19" s="87"/>
      <c r="Q19" s="87"/>
      <c r="R19" s="87"/>
      <c r="S19" s="87"/>
      <c r="T19" s="87"/>
      <c r="U19" s="87"/>
      <c r="V19" s="87"/>
    </row>
    <row r="20" spans="1:22" s="4" customFormat="1" ht="43.5">
      <c r="A20" s="428" t="s">
        <v>29</v>
      </c>
      <c r="B20" s="125"/>
      <c r="C20" s="125"/>
      <c r="D20" s="125"/>
      <c r="E20" s="125"/>
      <c r="F20" s="125"/>
      <c r="G20" s="125"/>
      <c r="H20" s="298"/>
      <c r="I20" s="87"/>
      <c r="J20" s="87"/>
      <c r="K20" s="87"/>
      <c r="L20" s="87"/>
      <c r="M20" s="87"/>
      <c r="N20" s="87"/>
      <c r="O20" s="87"/>
      <c r="P20" s="87"/>
      <c r="Q20" s="87"/>
      <c r="R20" s="87"/>
      <c r="S20" s="87"/>
      <c r="T20" s="87"/>
      <c r="U20" s="87"/>
      <c r="V20" s="87"/>
    </row>
    <row r="21" spans="1:22" s="4" customFormat="1" ht="15.75">
      <c r="A21" s="429" t="s">
        <v>270</v>
      </c>
      <c r="B21" s="125">
        <v>0</v>
      </c>
      <c r="C21" s="125">
        <v>6494180</v>
      </c>
      <c r="D21" s="125">
        <v>0</v>
      </c>
      <c r="E21" s="125">
        <v>0</v>
      </c>
      <c r="F21" s="125">
        <v>0</v>
      </c>
      <c r="G21" s="528">
        <f>SUM(B21:F21)</f>
        <v>6494180</v>
      </c>
      <c r="H21" s="298"/>
      <c r="I21" s="87"/>
      <c r="J21" s="87"/>
      <c r="K21" s="87"/>
      <c r="L21" s="87"/>
      <c r="M21" s="87"/>
      <c r="N21" s="87"/>
      <c r="O21" s="87"/>
      <c r="P21" s="87"/>
      <c r="Q21" s="87"/>
      <c r="R21" s="87"/>
      <c r="S21" s="87"/>
      <c r="T21" s="87"/>
      <c r="U21" s="87"/>
      <c r="V21" s="87"/>
    </row>
    <row r="22" spans="1:22" s="4" customFormat="1" ht="15.75">
      <c r="A22" s="429" t="s">
        <v>215</v>
      </c>
      <c r="B22" s="125">
        <v>0</v>
      </c>
      <c r="C22" s="125">
        <v>2362142</v>
      </c>
      <c r="D22" s="125">
        <v>0</v>
      </c>
      <c r="E22" s="125">
        <v>0</v>
      </c>
      <c r="F22" s="125">
        <v>0</v>
      </c>
      <c r="G22" s="528">
        <f>SUM(B22:F22)</f>
        <v>2362142</v>
      </c>
      <c r="H22" s="298"/>
      <c r="I22" s="87"/>
      <c r="J22" s="87"/>
      <c r="K22" s="87"/>
      <c r="L22" s="87"/>
      <c r="M22" s="87"/>
      <c r="N22" s="87"/>
      <c r="O22" s="87"/>
      <c r="P22" s="87"/>
      <c r="Q22" s="87"/>
      <c r="R22" s="87"/>
      <c r="S22" s="87"/>
      <c r="T22" s="87"/>
      <c r="U22" s="87"/>
      <c r="V22" s="87"/>
    </row>
    <row r="23" spans="1:22" s="4" customFormat="1" ht="15.75">
      <c r="A23" s="429" t="s">
        <v>216</v>
      </c>
      <c r="B23" s="125">
        <v>0</v>
      </c>
      <c r="C23" s="125">
        <v>40804</v>
      </c>
      <c r="D23" s="125">
        <v>0</v>
      </c>
      <c r="E23" s="125">
        <v>0</v>
      </c>
      <c r="F23" s="125">
        <v>0</v>
      </c>
      <c r="G23" s="528">
        <f>SUM(B23:F23)</f>
        <v>40804</v>
      </c>
      <c r="H23" s="298"/>
      <c r="I23" s="87"/>
      <c r="J23" s="87"/>
      <c r="K23" s="87"/>
      <c r="L23" s="87"/>
      <c r="M23" s="87"/>
      <c r="N23" s="87"/>
      <c r="O23" s="87"/>
      <c r="P23" s="87"/>
      <c r="Q23" s="87"/>
      <c r="R23" s="87"/>
      <c r="S23" s="87"/>
      <c r="T23" s="87"/>
      <c r="U23" s="87"/>
      <c r="V23" s="87"/>
    </row>
    <row r="24" spans="1:22" s="4" customFormat="1" ht="16.5" thickBot="1">
      <c r="A24" s="430" t="s">
        <v>205</v>
      </c>
      <c r="B24" s="137">
        <f aca="true" t="shared" si="2" ref="B24:G24">SUM(B21:B23)</f>
        <v>0</v>
      </c>
      <c r="C24" s="137">
        <f t="shared" si="2"/>
        <v>8897126</v>
      </c>
      <c r="D24" s="137">
        <f t="shared" si="2"/>
        <v>0</v>
      </c>
      <c r="E24" s="137">
        <f t="shared" si="2"/>
        <v>0</v>
      </c>
      <c r="F24" s="137">
        <f t="shared" si="2"/>
        <v>0</v>
      </c>
      <c r="G24" s="529">
        <f t="shared" si="2"/>
        <v>8897126</v>
      </c>
      <c r="H24" s="298" t="e">
        <f>+G24-G18</f>
        <v>#REF!</v>
      </c>
      <c r="I24" s="87"/>
      <c r="J24" s="87"/>
      <c r="K24" s="87"/>
      <c r="L24" s="87"/>
      <c r="M24" s="87"/>
      <c r="N24" s="87"/>
      <c r="O24" s="87"/>
      <c r="P24" s="87"/>
      <c r="Q24" s="87"/>
      <c r="R24" s="87"/>
      <c r="S24" s="87"/>
      <c r="T24" s="87"/>
      <c r="U24" s="87"/>
      <c r="V24" s="87"/>
    </row>
    <row r="25" spans="1:22" s="4" customFormat="1" ht="16.5" thickTop="1">
      <c r="A25" s="429"/>
      <c r="B25" s="125"/>
      <c r="C25" s="125"/>
      <c r="D25" s="125"/>
      <c r="E25" s="125"/>
      <c r="F25" s="125"/>
      <c r="G25" s="171"/>
      <c r="H25" s="100" t="e">
        <f>+H18-H24</f>
        <v>#REF!</v>
      </c>
      <c r="I25" s="87"/>
      <c r="J25" s="87"/>
      <c r="K25" s="87"/>
      <c r="L25" s="87"/>
      <c r="M25" s="87"/>
      <c r="N25" s="87"/>
      <c r="O25" s="87"/>
      <c r="P25" s="87"/>
      <c r="Q25" s="87"/>
      <c r="R25" s="87"/>
      <c r="S25" s="87"/>
      <c r="T25" s="87"/>
      <c r="U25" s="87"/>
      <c r="V25" s="87"/>
    </row>
    <row r="26" spans="1:22" s="4" customFormat="1" ht="15.75">
      <c r="A26" s="428" t="s">
        <v>206</v>
      </c>
      <c r="B26" s="125"/>
      <c r="C26" s="125"/>
      <c r="D26" s="125"/>
      <c r="E26" s="125"/>
      <c r="F26" s="125"/>
      <c r="G26" s="125"/>
      <c r="H26" s="298"/>
      <c r="I26" s="87"/>
      <c r="J26" s="87"/>
      <c r="K26" s="87"/>
      <c r="L26" s="87"/>
      <c r="M26" s="87"/>
      <c r="N26" s="87"/>
      <c r="O26" s="87"/>
      <c r="P26" s="87"/>
      <c r="Q26" s="87"/>
      <c r="R26" s="87"/>
      <c r="S26" s="87"/>
      <c r="T26" s="87"/>
      <c r="U26" s="87"/>
      <c r="V26" s="87"/>
    </row>
    <row r="27" spans="1:22" s="4" customFormat="1" ht="15.75">
      <c r="A27" s="429" t="s">
        <v>227</v>
      </c>
      <c r="B27" s="467">
        <f aca="true" t="shared" si="3" ref="B27:D29">B9-(B15-B21)</f>
        <v>-4583044</v>
      </c>
      <c r="C27" s="467">
        <f>C9-(C15-C21)</f>
        <v>6490892</v>
      </c>
      <c r="D27" s="467">
        <f t="shared" si="3"/>
        <v>0</v>
      </c>
      <c r="E27" s="125" t="e">
        <f aca="true" t="shared" si="4" ref="E27:F29">E9-(E15-E21)</f>
        <v>#REF!</v>
      </c>
      <c r="F27" s="467">
        <f t="shared" si="4"/>
        <v>0</v>
      </c>
      <c r="G27" s="528" t="e">
        <f>SUM(B27:F27)</f>
        <v>#REF!</v>
      </c>
      <c r="H27" s="298"/>
      <c r="I27" s="87"/>
      <c r="J27" s="87"/>
      <c r="K27" s="87"/>
      <c r="L27" s="87"/>
      <c r="M27" s="87"/>
      <c r="N27" s="87"/>
      <c r="O27" s="87"/>
      <c r="P27" s="87"/>
      <c r="Q27" s="87"/>
      <c r="R27" s="87"/>
      <c r="S27" s="87"/>
      <c r="T27" s="87"/>
      <c r="U27" s="87"/>
      <c r="V27" s="87"/>
    </row>
    <row r="28" spans="1:22" s="4" customFormat="1" ht="15.75">
      <c r="A28" s="429" t="s">
        <v>309</v>
      </c>
      <c r="B28" s="467">
        <f t="shared" si="3"/>
        <v>-1463323</v>
      </c>
      <c r="C28" s="467">
        <f>C10-(C16-C22)</f>
        <v>2361351</v>
      </c>
      <c r="D28" s="467">
        <f t="shared" si="3"/>
        <v>0</v>
      </c>
      <c r="E28" s="125" t="e">
        <f t="shared" si="4"/>
        <v>#REF!</v>
      </c>
      <c r="F28" s="467" t="e">
        <f t="shared" si="4"/>
        <v>#REF!</v>
      </c>
      <c r="G28" s="528" t="e">
        <f>SUM(B28:F28)</f>
        <v>#REF!</v>
      </c>
      <c r="H28" s="298"/>
      <c r="I28" s="87"/>
      <c r="J28" s="87"/>
      <c r="K28" s="87"/>
      <c r="L28" s="87"/>
      <c r="M28" s="87"/>
      <c r="N28" s="87"/>
      <c r="O28" s="87"/>
      <c r="P28" s="87"/>
      <c r="Q28" s="87"/>
      <c r="R28" s="87"/>
      <c r="S28" s="87"/>
      <c r="T28" s="87"/>
      <c r="U28" s="87"/>
      <c r="V28" s="87"/>
    </row>
    <row r="29" spans="1:22" s="4" customFormat="1" ht="15.75">
      <c r="A29" s="431" t="s">
        <v>228</v>
      </c>
      <c r="B29" s="467">
        <f t="shared" si="3"/>
        <v>-19676</v>
      </c>
      <c r="C29" s="467">
        <f>C11-(C17-C23)</f>
        <v>40805</v>
      </c>
      <c r="D29" s="467">
        <f t="shared" si="3"/>
        <v>0</v>
      </c>
      <c r="E29" s="125" t="e">
        <f t="shared" si="4"/>
        <v>#REF!</v>
      </c>
      <c r="F29" s="467" t="e">
        <f t="shared" si="4"/>
        <v>#REF!</v>
      </c>
      <c r="G29" s="528" t="e">
        <f>SUM(B29:F29)</f>
        <v>#REF!</v>
      </c>
      <c r="H29" s="298"/>
      <c r="I29" s="87"/>
      <c r="J29" s="87"/>
      <c r="K29" s="87"/>
      <c r="L29" s="87"/>
      <c r="M29" s="87"/>
      <c r="N29" s="87"/>
      <c r="O29" s="87"/>
      <c r="P29" s="87"/>
      <c r="Q29" s="87"/>
      <c r="R29" s="87"/>
      <c r="S29" s="87"/>
      <c r="T29" s="87"/>
      <c r="U29" s="87"/>
      <c r="V29" s="87"/>
    </row>
    <row r="30" spans="1:22" s="4" customFormat="1" ht="16.5" thickBot="1">
      <c r="A30" s="430" t="s">
        <v>205</v>
      </c>
      <c r="B30" s="526">
        <f aca="true" t="shared" si="5" ref="B30:G30">SUM(B27:B29)</f>
        <v>-6066043</v>
      </c>
      <c r="C30" s="526">
        <f t="shared" si="5"/>
        <v>8893048</v>
      </c>
      <c r="D30" s="526">
        <f t="shared" si="5"/>
        <v>0</v>
      </c>
      <c r="E30" s="526" t="e">
        <f t="shared" si="5"/>
        <v>#REF!</v>
      </c>
      <c r="F30" s="533" t="e">
        <f t="shared" si="5"/>
        <v>#REF!</v>
      </c>
      <c r="G30" s="527" t="e">
        <f t="shared" si="5"/>
        <v>#REF!</v>
      </c>
      <c r="H30" s="338">
        <f>+'[1]TB03-31-04(Final)'!G338</f>
        <v>-5376116</v>
      </c>
      <c r="I30" s="87"/>
      <c r="J30" s="87"/>
      <c r="K30" s="87"/>
      <c r="L30" s="87"/>
      <c r="M30" s="87"/>
      <c r="N30" s="87"/>
      <c r="O30" s="87"/>
      <c r="P30" s="87"/>
      <c r="Q30" s="87"/>
      <c r="R30" s="87"/>
      <c r="S30" s="87"/>
      <c r="T30" s="87"/>
      <c r="U30" s="87"/>
      <c r="V30" s="87"/>
    </row>
    <row r="31" spans="2:8" ht="16.5" thickTop="1">
      <c r="B31" s="170"/>
      <c r="C31" s="170"/>
      <c r="H31" s="567" t="e">
        <f>+G30+H30</f>
        <v>#REF!</v>
      </c>
    </row>
    <row r="32" spans="1:8" ht="15.75">
      <c r="A32" s="732"/>
      <c r="B32" s="733"/>
      <c r="C32" s="733"/>
      <c r="D32" s="733"/>
      <c r="E32" s="733"/>
      <c r="F32" s="733"/>
      <c r="G32" s="733"/>
      <c r="H32" s="733"/>
    </row>
    <row r="33" spans="1:8" s="735" customFormat="1" ht="15" customHeight="1">
      <c r="A33" s="1010" t="s">
        <v>257</v>
      </c>
      <c r="B33" s="1010"/>
      <c r="C33" s="1010"/>
      <c r="D33" s="1010"/>
      <c r="E33" s="1010"/>
      <c r="F33" s="1010"/>
      <c r="G33" s="1010"/>
      <c r="H33" s="1010"/>
    </row>
    <row r="34" spans="1:8" s="735" customFormat="1" ht="12.75">
      <c r="A34" s="1010"/>
      <c r="B34" s="1010"/>
      <c r="C34" s="1010"/>
      <c r="D34" s="1010"/>
      <c r="E34" s="1010"/>
      <c r="F34" s="1010"/>
      <c r="G34" s="1010"/>
      <c r="H34" s="1010"/>
    </row>
    <row r="35" spans="1:8" s="735" customFormat="1" ht="12.75">
      <c r="A35" s="1010"/>
      <c r="B35" s="1010"/>
      <c r="C35" s="1010"/>
      <c r="D35" s="1010"/>
      <c r="E35" s="1010"/>
      <c r="F35" s="1010"/>
      <c r="G35" s="1010"/>
      <c r="H35" s="1010"/>
    </row>
    <row r="36" spans="1:8" s="735" customFormat="1" ht="12.75">
      <c r="A36" s="734"/>
      <c r="B36" s="734"/>
      <c r="C36" s="734"/>
      <c r="D36" s="734"/>
      <c r="E36" s="734"/>
      <c r="F36" s="734"/>
      <c r="G36" s="734"/>
      <c r="H36" s="734"/>
    </row>
    <row r="37" spans="2:4" s="735" customFormat="1" ht="12" customHeight="1">
      <c r="B37" s="736"/>
      <c r="C37" s="1011" t="s">
        <v>258</v>
      </c>
      <c r="D37" s="1011" t="s">
        <v>259</v>
      </c>
    </row>
    <row r="38" spans="2:4" s="735" customFormat="1" ht="12" customHeight="1">
      <c r="B38" s="737" t="s">
        <v>143</v>
      </c>
      <c r="C38" s="1011"/>
      <c r="D38" s="1011"/>
    </row>
    <row r="39" spans="1:7" s="735" customFormat="1" ht="12" customHeight="1">
      <c r="A39" s="738" t="s">
        <v>260</v>
      </c>
      <c r="B39" s="741">
        <v>478783</v>
      </c>
      <c r="C39" s="741">
        <v>1343200</v>
      </c>
      <c r="D39" s="741">
        <f>B39+C39</f>
        <v>1821983</v>
      </c>
      <c r="E39" s="739"/>
      <c r="F39" s="739"/>
      <c r="G39" s="739"/>
    </row>
    <row r="40" spans="1:7" s="735" customFormat="1" ht="12" customHeight="1">
      <c r="A40" s="738" t="s">
        <v>328</v>
      </c>
      <c r="B40" s="742">
        <v>487924</v>
      </c>
      <c r="C40" s="742">
        <v>1418672</v>
      </c>
      <c r="D40" s="742">
        <f>B40+C40</f>
        <v>1906596</v>
      </c>
      <c r="E40" s="739"/>
      <c r="F40" s="739"/>
      <c r="G40" s="739"/>
    </row>
    <row r="41" spans="1:7" s="735" customFormat="1" ht="12" customHeight="1">
      <c r="A41" s="738" t="s">
        <v>31</v>
      </c>
      <c r="B41" s="742">
        <v>509815</v>
      </c>
      <c r="C41" s="742">
        <v>1518349</v>
      </c>
      <c r="D41" s="742">
        <f>B41+C41</f>
        <v>2028164</v>
      </c>
      <c r="E41" s="739"/>
      <c r="F41" s="739"/>
      <c r="G41" s="739"/>
    </row>
    <row r="42" spans="1:7" s="735" customFormat="1" ht="12" customHeight="1">
      <c r="A42" s="738" t="s">
        <v>298</v>
      </c>
      <c r="B42" s="742">
        <v>508338</v>
      </c>
      <c r="C42" s="742">
        <v>1585267</v>
      </c>
      <c r="D42" s="742">
        <f>B42+C42</f>
        <v>2093605</v>
      </c>
      <c r="E42" s="739"/>
      <c r="F42" s="739"/>
      <c r="G42" s="739"/>
    </row>
    <row r="43" spans="1:7" s="735" customFormat="1" ht="12" customHeight="1" thickBot="1">
      <c r="A43" s="738" t="s">
        <v>354</v>
      </c>
      <c r="B43" s="743">
        <f>SUM(B39:B42)</f>
        <v>1984860</v>
      </c>
      <c r="C43" s="743">
        <f>SUM(C39:C42)</f>
        <v>5865488</v>
      </c>
      <c r="D43" s="743">
        <f>SUM(D39:D42)</f>
        <v>7850348</v>
      </c>
      <c r="E43" s="739"/>
      <c r="F43" s="739"/>
      <c r="G43" s="739"/>
    </row>
    <row r="44" spans="1:7" s="735" customFormat="1" ht="12" customHeight="1" thickTop="1">
      <c r="A44" s="738"/>
      <c r="B44" s="740"/>
      <c r="C44" s="740"/>
      <c r="D44" s="740"/>
      <c r="E44" s="739"/>
      <c r="F44" s="739"/>
      <c r="G44" s="739"/>
    </row>
    <row r="45" spans="1:8" s="735" customFormat="1" ht="12.75">
      <c r="A45" s="1010" t="s">
        <v>261</v>
      </c>
      <c r="B45" s="1010"/>
      <c r="C45" s="1010"/>
      <c r="D45" s="1010"/>
      <c r="E45" s="1010"/>
      <c r="F45" s="1010"/>
      <c r="G45" s="1010"/>
      <c r="H45" s="1010"/>
    </row>
    <row r="46" spans="1:8" s="735" customFormat="1" ht="12.75">
      <c r="A46" s="1010"/>
      <c r="B46" s="1010"/>
      <c r="C46" s="1010"/>
      <c r="D46" s="1010"/>
      <c r="E46" s="1010"/>
      <c r="F46" s="1010"/>
      <c r="G46" s="1010"/>
      <c r="H46" s="1010"/>
    </row>
    <row r="47" spans="2:3" ht="15.75">
      <c r="B47" s="170"/>
      <c r="C47" s="170"/>
    </row>
    <row r="48" spans="2:3" ht="15.75">
      <c r="B48" s="170"/>
      <c r="C48" s="170"/>
    </row>
    <row r="49" spans="2:3" ht="15.75">
      <c r="B49" s="170"/>
      <c r="C49" s="170"/>
    </row>
    <row r="50" spans="2:3" ht="15.75">
      <c r="B50" s="170"/>
      <c r="C50" s="170"/>
    </row>
    <row r="51" spans="2:3" ht="15.75">
      <c r="B51" s="170"/>
      <c r="C51" s="170"/>
    </row>
    <row r="52" spans="2:3" ht="15.75">
      <c r="B52" s="170"/>
      <c r="C52" s="170"/>
    </row>
    <row r="53" spans="2:3" ht="15.75">
      <c r="B53" s="170"/>
      <c r="C53" s="170"/>
    </row>
    <row r="54" spans="2:3" ht="15.75">
      <c r="B54" s="170"/>
      <c r="C54" s="170"/>
    </row>
    <row r="55" spans="2:3" ht="15.75">
      <c r="B55" s="170"/>
      <c r="C55" s="170"/>
    </row>
    <row r="56" spans="2:3" ht="15.75">
      <c r="B56" s="170"/>
      <c r="C56" s="170"/>
    </row>
    <row r="57" spans="2:3" ht="15.75">
      <c r="B57" s="170"/>
      <c r="C57" s="170"/>
    </row>
    <row r="58" spans="2:3" ht="15.75">
      <c r="B58" s="170"/>
      <c r="C58" s="170"/>
    </row>
    <row r="59" spans="2:3" ht="15.75">
      <c r="B59" s="170"/>
      <c r="C59" s="170"/>
    </row>
    <row r="60" spans="2:3" ht="15.75">
      <c r="B60" s="170"/>
      <c r="C60" s="170"/>
    </row>
    <row r="61" spans="2:3" ht="15.75">
      <c r="B61" s="170"/>
      <c r="C61" s="170"/>
    </row>
    <row r="62" spans="2:3" ht="15.75">
      <c r="B62" s="170"/>
      <c r="C62" s="170"/>
    </row>
    <row r="63" spans="2:3" ht="15.75">
      <c r="B63" s="170"/>
      <c r="C63" s="170"/>
    </row>
    <row r="64" spans="2:3" ht="15.75">
      <c r="B64" s="170"/>
      <c r="C64" s="170"/>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8.xml><?xml version="1.0" encoding="utf-8"?>
<worksheet xmlns="http://schemas.openxmlformats.org/spreadsheetml/2006/main" xmlns:r="http://schemas.openxmlformats.org/officeDocument/2006/relationships">
  <dimension ref="A1:E36"/>
  <sheetViews>
    <sheetView zoomScale="75" zoomScaleNormal="75" workbookViewId="0" topLeftCell="A1">
      <selection activeCell="A1" sqref="A1:E1"/>
    </sheetView>
  </sheetViews>
  <sheetFormatPr defaultColWidth="9.140625" defaultRowHeight="15" customHeight="1"/>
  <cols>
    <col min="1" max="1" width="45.7109375" style="17" customWidth="1"/>
    <col min="2" max="2" width="15.7109375" style="126" customWidth="1"/>
    <col min="3" max="3" width="19.140625" style="126" customWidth="1"/>
    <col min="4" max="4" width="15.7109375" style="17" customWidth="1"/>
    <col min="5" max="5" width="20.8515625" style="17" customWidth="1"/>
    <col min="6" max="16384" width="15.7109375" style="17" customWidth="1"/>
  </cols>
  <sheetData>
    <row r="1" spans="1:5" s="116" customFormat="1" ht="24.75" customHeight="1">
      <c r="A1" s="970" t="s">
        <v>77</v>
      </c>
      <c r="B1" s="970"/>
      <c r="C1" s="970"/>
      <c r="D1" s="970"/>
      <c r="E1" s="970"/>
    </row>
    <row r="2" spans="1:3" s="19" customFormat="1" ht="15" customHeight="1">
      <c r="A2" s="992"/>
      <c r="B2" s="992"/>
      <c r="C2" s="992"/>
    </row>
    <row r="3" spans="1:5" ht="15" customHeight="1">
      <c r="A3" s="1012" t="s">
        <v>95</v>
      </c>
      <c r="B3" s="1012"/>
      <c r="C3" s="1012"/>
      <c r="D3" s="1012"/>
      <c r="E3" s="1012"/>
    </row>
    <row r="4" spans="1:5" ht="15" customHeight="1">
      <c r="A4" s="1012" t="s">
        <v>473</v>
      </c>
      <c r="B4" s="1012"/>
      <c r="C4" s="1012"/>
      <c r="D4" s="1012"/>
      <c r="E4" s="1012"/>
    </row>
    <row r="5" spans="1:3" s="20" customFormat="1" ht="15" customHeight="1">
      <c r="A5" s="369"/>
      <c r="B5" s="370"/>
      <c r="C5" s="370"/>
    </row>
    <row r="6" spans="1:3" s="20" customFormat="1" ht="15" customHeight="1">
      <c r="A6" s="920"/>
      <c r="B6" s="921" t="s">
        <v>30</v>
      </c>
      <c r="C6" s="922"/>
    </row>
    <row r="7" spans="1:3" s="20" customFormat="1" ht="15" customHeight="1">
      <c r="A7" s="920"/>
      <c r="B7" s="923"/>
      <c r="C7" s="924"/>
    </row>
    <row r="8" spans="1:3" s="20" customFormat="1" ht="15" customHeight="1">
      <c r="A8" s="925" t="s">
        <v>97</v>
      </c>
      <c r="B8" s="923"/>
      <c r="C8" s="926"/>
    </row>
    <row r="9" spans="1:3" s="20" customFormat="1" ht="15" customHeight="1">
      <c r="A9" s="925"/>
      <c r="B9" s="923"/>
      <c r="C9" s="926"/>
    </row>
    <row r="10" spans="1:3" s="20" customFormat="1" ht="15" customHeight="1">
      <c r="A10" s="920" t="s">
        <v>98</v>
      </c>
      <c r="B10" s="927"/>
      <c r="C10" s="928">
        <f>'Earned Incurred QTD-4'!$D$16</f>
        <v>5248025</v>
      </c>
    </row>
    <row r="11" spans="1:3" s="20" customFormat="1" ht="15" customHeight="1">
      <c r="A11" s="925"/>
      <c r="B11" s="927"/>
      <c r="C11" s="929"/>
    </row>
    <row r="12" spans="1:3" s="20" customFormat="1" ht="15" customHeight="1">
      <c r="A12" s="925" t="s">
        <v>99</v>
      </c>
      <c r="B12" s="927"/>
      <c r="C12" s="929"/>
    </row>
    <row r="13" spans="1:3" s="20" customFormat="1" ht="15" customHeight="1">
      <c r="A13" s="920" t="s">
        <v>100</v>
      </c>
      <c r="B13" s="335">
        <f>'Earned Incurred QTD-4'!$D$23</f>
        <v>3051143</v>
      </c>
      <c r="C13" s="929"/>
    </row>
    <row r="14" spans="1:3" s="20" customFormat="1" ht="15" customHeight="1">
      <c r="A14" s="920" t="s">
        <v>101</v>
      </c>
      <c r="B14" s="335">
        <f>'Earned Incurred QTD-4'!$D$30</f>
        <v>346416</v>
      </c>
      <c r="C14" s="929"/>
    </row>
    <row r="15" spans="1:3" s="20" customFormat="1" ht="15" customHeight="1">
      <c r="A15" s="920" t="s">
        <v>102</v>
      </c>
      <c r="B15" s="335">
        <f>'Earned Incurred QTD-4'!$C$37</f>
        <v>393870</v>
      </c>
      <c r="C15" s="929"/>
    </row>
    <row r="16" spans="1:4" s="20" customFormat="1" ht="15" customHeight="1">
      <c r="A16" s="920" t="s">
        <v>103</v>
      </c>
      <c r="B16" s="335">
        <f>'Earned Incurred QTD-4'!C38+'Earned Incurred QTD-4'!C39+'Earned Incurred QTD-4'!C43</f>
        <v>1226316</v>
      </c>
      <c r="C16" s="929"/>
      <c r="D16" s="888"/>
    </row>
    <row r="17" spans="1:3" s="20" customFormat="1" ht="15" customHeight="1">
      <c r="A17" s="920" t="s">
        <v>390</v>
      </c>
      <c r="B17" s="930">
        <f>'Earned Incurred QTD-4'!$D$36</f>
        <v>12914</v>
      </c>
      <c r="C17" s="929"/>
    </row>
    <row r="18" spans="1:3" s="20" customFormat="1" ht="15" customHeight="1">
      <c r="A18" s="920" t="s">
        <v>285</v>
      </c>
      <c r="B18" s="927"/>
      <c r="C18" s="931">
        <f>SUM(B13:B17)</f>
        <v>5030659</v>
      </c>
    </row>
    <row r="19" spans="1:3" s="20" customFormat="1" ht="15" customHeight="1">
      <c r="A19" s="920"/>
      <c r="B19" s="927"/>
      <c r="C19" s="932"/>
    </row>
    <row r="20" spans="1:3" s="20" customFormat="1" ht="15" customHeight="1">
      <c r="A20" s="920" t="s">
        <v>471</v>
      </c>
      <c r="B20" s="927"/>
      <c r="C20" s="932">
        <f>C10-C18</f>
        <v>217366</v>
      </c>
    </row>
    <row r="21" spans="1:3" s="20" customFormat="1" ht="15" customHeight="1">
      <c r="A21" s="925"/>
      <c r="B21" s="927"/>
      <c r="C21" s="932"/>
    </row>
    <row r="22" spans="1:3" s="20" customFormat="1" ht="15" customHeight="1">
      <c r="A22" s="925" t="s">
        <v>105</v>
      </c>
      <c r="B22" s="927"/>
      <c r="C22" s="932"/>
    </row>
    <row r="23" spans="1:3" s="20" customFormat="1" ht="15" customHeight="1">
      <c r="A23" s="920" t="s">
        <v>337</v>
      </c>
      <c r="B23" s="927"/>
      <c r="C23" s="931">
        <f>'Earned Incurred QTD-4'!$D$52</f>
        <v>260385</v>
      </c>
    </row>
    <row r="24" spans="1:3" s="20" customFormat="1" ht="15" customHeight="1">
      <c r="A24" s="920"/>
      <c r="B24" s="927"/>
      <c r="C24" s="932"/>
    </row>
    <row r="25" spans="1:3" s="20" customFormat="1" ht="15" customHeight="1" thickBot="1">
      <c r="A25" s="920" t="s">
        <v>472</v>
      </c>
      <c r="B25" s="927"/>
      <c r="C25" s="933">
        <f>C20+C23</f>
        <v>477751</v>
      </c>
    </row>
    <row r="26" spans="1:3" s="20" customFormat="1" ht="15" customHeight="1">
      <c r="A26" s="925"/>
      <c r="B26" s="927"/>
      <c r="C26" s="934"/>
    </row>
    <row r="27" spans="1:3" s="20" customFormat="1" ht="15" customHeight="1">
      <c r="A27" s="925" t="s">
        <v>93</v>
      </c>
      <c r="B27" s="927"/>
      <c r="C27" s="932"/>
    </row>
    <row r="28" spans="1:3" s="20" customFormat="1" ht="15" customHeight="1">
      <c r="A28" s="920" t="s">
        <v>336</v>
      </c>
      <c r="B28" s="927"/>
      <c r="C28" s="935">
        <v>-1581189.61</v>
      </c>
    </row>
    <row r="29" spans="1:3" s="20" customFormat="1" ht="15" customHeight="1">
      <c r="A29" s="920" t="s">
        <v>0</v>
      </c>
      <c r="B29" s="335">
        <f>C25</f>
        <v>477751</v>
      </c>
      <c r="C29" s="932"/>
    </row>
    <row r="30" spans="1:4" s="20" customFormat="1" ht="15" customHeight="1">
      <c r="A30" s="920" t="s">
        <v>108</v>
      </c>
      <c r="B30" s="936">
        <v>-107132</v>
      </c>
      <c r="C30" s="932"/>
      <c r="D30" s="888"/>
    </row>
    <row r="31" spans="2:5" s="20" customFormat="1" ht="15" customHeight="1">
      <c r="B31" s="335"/>
      <c r="C31" s="932"/>
      <c r="D31" s="335"/>
      <c r="E31" s="335"/>
    </row>
    <row r="32" spans="1:3" s="20" customFormat="1" ht="15" customHeight="1">
      <c r="A32" s="920" t="s">
        <v>109</v>
      </c>
      <c r="B32" s="335"/>
      <c r="C32" s="932">
        <f>SUM(B29:B32)</f>
        <v>370619</v>
      </c>
    </row>
    <row r="33" spans="1:3" s="20" customFormat="1" ht="15" customHeight="1">
      <c r="A33" s="920"/>
      <c r="B33" s="335"/>
      <c r="C33" s="937"/>
    </row>
    <row r="34" spans="1:3" s="20" customFormat="1" ht="15" customHeight="1" thickBot="1">
      <c r="A34" s="938" t="s">
        <v>480</v>
      </c>
      <c r="B34" s="927"/>
      <c r="C34" s="939">
        <f>C28+C32</f>
        <v>-1210570.61</v>
      </c>
    </row>
    <row r="35" spans="2:3" s="14" customFormat="1" ht="15" customHeight="1" thickTop="1">
      <c r="B35" s="255"/>
      <c r="C35" s="126"/>
    </row>
    <row r="36" ht="15" customHeight="1">
      <c r="C36" s="341"/>
    </row>
    <row r="39" s="126"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9.xml><?xml version="1.0" encoding="utf-8"?>
<worksheet xmlns="http://schemas.openxmlformats.org/spreadsheetml/2006/main" xmlns:r="http://schemas.openxmlformats.org/officeDocument/2006/relationships">
  <dimension ref="A1:I85"/>
  <sheetViews>
    <sheetView zoomScale="75" zoomScaleNormal="75" workbookViewId="0" topLeftCell="A1">
      <selection activeCell="A1" sqref="A1:G1"/>
    </sheetView>
  </sheetViews>
  <sheetFormatPr defaultColWidth="9.140625" defaultRowHeight="15" customHeight="1"/>
  <cols>
    <col min="1" max="1" width="45.7109375" style="30" customWidth="1"/>
    <col min="2" max="3" width="15.7109375" style="254" customWidth="1"/>
    <col min="4" max="6" width="15.7109375" style="339" customWidth="1"/>
    <col min="7" max="7" width="15.7109375" style="340" customWidth="1"/>
    <col min="8" max="16384" width="15.7109375" style="30" customWidth="1"/>
  </cols>
  <sheetData>
    <row r="1" spans="1:7" s="239" customFormat="1" ht="30" customHeight="1">
      <c r="A1" s="1013" t="s">
        <v>77</v>
      </c>
      <c r="B1" s="1013"/>
      <c r="C1" s="1013"/>
      <c r="D1" s="1013"/>
      <c r="E1" s="1013"/>
      <c r="F1" s="1013"/>
      <c r="G1" s="1013"/>
    </row>
    <row r="2" spans="1:7" s="26" customFormat="1" ht="15" customHeight="1">
      <c r="A2" s="1014"/>
      <c r="B2" s="1014"/>
      <c r="C2" s="1014"/>
      <c r="D2" s="1014"/>
      <c r="E2" s="1014"/>
      <c r="F2" s="1014"/>
      <c r="G2" s="1014"/>
    </row>
    <row r="3" spans="1:7" s="747" customFormat="1" ht="15" customHeight="1">
      <c r="A3" s="1015" t="s">
        <v>110</v>
      </c>
      <c r="B3" s="1015"/>
      <c r="C3" s="1015"/>
      <c r="D3" s="1015"/>
      <c r="E3" s="1015"/>
      <c r="F3" s="1015"/>
      <c r="G3" s="1015"/>
    </row>
    <row r="4" spans="1:7" s="747" customFormat="1" ht="15" customHeight="1">
      <c r="A4" s="1015" t="s">
        <v>469</v>
      </c>
      <c r="B4" s="1015"/>
      <c r="C4" s="1015"/>
      <c r="D4" s="1015"/>
      <c r="E4" s="1015"/>
      <c r="F4" s="1015"/>
      <c r="G4" s="1015"/>
    </row>
    <row r="5" spans="1:7" s="28" customFormat="1" ht="15" customHeight="1">
      <c r="A5" s="372"/>
      <c r="B5" s="760"/>
      <c r="C5" s="760"/>
      <c r="D5" s="761"/>
      <c r="E5" s="762"/>
      <c r="F5" s="762"/>
      <c r="G5" s="763"/>
    </row>
    <row r="6" spans="1:7" s="31" customFormat="1" ht="30" customHeight="1">
      <c r="A6" s="898"/>
      <c r="B6" s="769" t="s">
        <v>482</v>
      </c>
      <c r="C6" s="769" t="s">
        <v>293</v>
      </c>
      <c r="D6" s="769" t="s">
        <v>289</v>
      </c>
      <c r="E6" s="769" t="s">
        <v>19</v>
      </c>
      <c r="F6" s="769" t="s">
        <v>483</v>
      </c>
      <c r="G6" s="769" t="s">
        <v>78</v>
      </c>
    </row>
    <row r="7" spans="1:7" s="33" customFormat="1" ht="15" customHeight="1">
      <c r="A7" s="899" t="s">
        <v>112</v>
      </c>
      <c r="B7" s="900"/>
      <c r="C7" s="900"/>
      <c r="D7" s="901"/>
      <c r="E7" s="901"/>
      <c r="F7" s="901"/>
      <c r="G7" s="901"/>
    </row>
    <row r="8" spans="1:7" ht="15" customHeight="1">
      <c r="A8" s="902" t="s">
        <v>113</v>
      </c>
      <c r="B8" s="903">
        <f>'Premiums QTD-5'!B11</f>
        <v>4478761</v>
      </c>
      <c r="C8" s="903">
        <f>'Premiums QTD-5'!C11</f>
        <v>17681</v>
      </c>
      <c r="D8" s="904">
        <f>'Premiums QTD-5'!D11</f>
        <v>-4923</v>
      </c>
      <c r="E8" s="476">
        <f>'Premiums QTD-5'!E11</f>
        <v>0</v>
      </c>
      <c r="F8" s="476">
        <f>'Premiums QTD-5'!F11</f>
        <v>0</v>
      </c>
      <c r="G8" s="903">
        <f>SUM(B8:F8)</f>
        <v>4491519</v>
      </c>
    </row>
    <row r="9" spans="1:7" ht="15" customHeight="1">
      <c r="A9" s="902" t="s">
        <v>114</v>
      </c>
      <c r="B9" s="476">
        <f>'Earned Incurred QTD-4'!C48</f>
        <v>292911</v>
      </c>
      <c r="C9" s="476">
        <v>0</v>
      </c>
      <c r="D9" s="476">
        <v>0</v>
      </c>
      <c r="E9" s="476">
        <v>0</v>
      </c>
      <c r="F9" s="476">
        <v>0</v>
      </c>
      <c r="G9" s="476">
        <f>SUM(B9:F9)</f>
        <v>292911</v>
      </c>
    </row>
    <row r="10" spans="1:7" ht="15" customHeight="1" thickBot="1">
      <c r="A10" s="905" t="s">
        <v>115</v>
      </c>
      <c r="B10" s="906">
        <f aca="true" t="shared" si="0" ref="B10:G10">SUM(B8:B9)</f>
        <v>4771672</v>
      </c>
      <c r="C10" s="906">
        <f t="shared" si="0"/>
        <v>17681</v>
      </c>
      <c r="D10" s="907">
        <f t="shared" si="0"/>
        <v>-4923</v>
      </c>
      <c r="E10" s="478">
        <f t="shared" si="0"/>
        <v>0</v>
      </c>
      <c r="F10" s="478">
        <f t="shared" si="0"/>
        <v>0</v>
      </c>
      <c r="G10" s="908">
        <f t="shared" si="0"/>
        <v>4784430</v>
      </c>
    </row>
    <row r="11" spans="1:7" ht="15" customHeight="1" thickTop="1">
      <c r="A11" s="905"/>
      <c r="B11" s="339"/>
      <c r="C11" s="339"/>
      <c r="E11" s="476"/>
      <c r="F11" s="476"/>
      <c r="G11" s="476"/>
    </row>
    <row r="12" spans="1:7" ht="15" customHeight="1">
      <c r="A12" s="899" t="s">
        <v>116</v>
      </c>
      <c r="B12" s="901"/>
      <c r="C12" s="901"/>
      <c r="D12" s="901"/>
      <c r="E12" s="483"/>
      <c r="F12" s="483"/>
      <c r="G12" s="476"/>
    </row>
    <row r="13" spans="1:7" ht="15" customHeight="1">
      <c r="A13" s="905" t="s">
        <v>117</v>
      </c>
      <c r="B13" s="476">
        <f>'Losses Incurred QTD-6'!B13</f>
        <v>0</v>
      </c>
      <c r="C13" s="476">
        <f>'Losses Incurred QTD-6'!C13</f>
        <v>2673773</v>
      </c>
      <c r="D13" s="476">
        <f>'Losses Incurred QTD-6'!D13</f>
        <v>610649</v>
      </c>
      <c r="E13" s="909">
        <f>'Losses Incurred QTD-6'!E13</f>
        <v>-21244</v>
      </c>
      <c r="F13" s="476">
        <f>'Losses Incurred QTD-6'!F13</f>
        <v>0</v>
      </c>
      <c r="G13" s="476">
        <f>SUM(B13:F13)</f>
        <v>3263178</v>
      </c>
    </row>
    <row r="14" spans="1:7" ht="15" customHeight="1">
      <c r="A14" s="905" t="s">
        <v>118</v>
      </c>
      <c r="B14" s="476">
        <f>'[11]Loss Expenses QTD-10'!$C$37</f>
        <v>253</v>
      </c>
      <c r="C14" s="476">
        <f>'[11]Loss Expenses QTD-10'!$C$31</f>
        <v>168880</v>
      </c>
      <c r="D14" s="476">
        <f>'[11]Loss Expenses QTD-10'!$C$25</f>
        <v>77456</v>
      </c>
      <c r="E14" s="476">
        <f>'[11]Loss Expenses QTD-10'!$C$19</f>
        <v>5910</v>
      </c>
      <c r="F14" s="476">
        <f>'[11]Loss Expenses QTD-10'!$C$13</f>
        <v>1889</v>
      </c>
      <c r="G14" s="476">
        <f aca="true" t="shared" si="1" ref="G14:G20">SUM(B14:F14)</f>
        <v>254388</v>
      </c>
    </row>
    <row r="15" spans="1:7" ht="15" customHeight="1">
      <c r="A15" s="905" t="s">
        <v>119</v>
      </c>
      <c r="B15" s="476">
        <f>'[11]Loss Expenses QTD-10'!$I$37</f>
        <v>0</v>
      </c>
      <c r="C15" s="476">
        <f>'[11]Loss Expenses QTD-10'!$I$31</f>
        <v>136593</v>
      </c>
      <c r="D15" s="476">
        <f>'[11]Loss Expenses QTD-10'!$I$25</f>
        <v>32177</v>
      </c>
      <c r="E15" s="476">
        <f>'[11]Loss Expenses QTD-10'!$I$19</f>
        <v>201</v>
      </c>
      <c r="F15" s="476">
        <f>'[11]Loss Expenses QTD-10'!$I$13</f>
        <v>0</v>
      </c>
      <c r="G15" s="476">
        <f>SUM(B15:F15)</f>
        <v>168971</v>
      </c>
    </row>
    <row r="16" spans="1:7" ht="15" customHeight="1">
      <c r="A16" s="905" t="s">
        <v>120</v>
      </c>
      <c r="B16" s="476">
        <f>'[11]1Q07 TB (ROUNDED)'!$D$422</f>
        <v>17929</v>
      </c>
      <c r="C16" s="476">
        <v>0</v>
      </c>
      <c r="D16" s="476">
        <v>0</v>
      </c>
      <c r="E16" s="476">
        <v>0</v>
      </c>
      <c r="F16" s="476">
        <v>0</v>
      </c>
      <c r="G16" s="476">
        <f t="shared" si="1"/>
        <v>17929</v>
      </c>
    </row>
    <row r="17" spans="1:8" ht="15" customHeight="1">
      <c r="A17" s="910" t="s">
        <v>121</v>
      </c>
      <c r="B17" s="476">
        <f>'[11]1Q07 TB (ROUNDED)'!$D$427</f>
        <v>48627</v>
      </c>
      <c r="C17" s="476">
        <v>0</v>
      </c>
      <c r="D17" s="476">
        <v>0</v>
      </c>
      <c r="E17" s="476">
        <v>0</v>
      </c>
      <c r="F17" s="476">
        <v>0</v>
      </c>
      <c r="G17" s="476">
        <f t="shared" si="1"/>
        <v>48627</v>
      </c>
      <c r="H17" s="254"/>
    </row>
    <row r="18" spans="1:8" ht="15" customHeight="1">
      <c r="A18" s="905" t="s">
        <v>123</v>
      </c>
      <c r="B18" s="476">
        <f>'[11]1Q07 TB (ROUNDED)'!$D$424</f>
        <v>3300</v>
      </c>
      <c r="C18" s="476">
        <v>0</v>
      </c>
      <c r="D18" s="476">
        <v>0</v>
      </c>
      <c r="E18" s="476">
        <v>0</v>
      </c>
      <c r="F18" s="476">
        <v>0</v>
      </c>
      <c r="G18" s="476">
        <f t="shared" si="1"/>
        <v>3300</v>
      </c>
      <c r="H18" s="254"/>
    </row>
    <row r="19" spans="1:7" ht="15" customHeight="1">
      <c r="A19" s="910" t="s">
        <v>122</v>
      </c>
      <c r="B19" s="476">
        <f>'[11]1Q07 TB (ROUNDED)'!$D$417</f>
        <v>388635</v>
      </c>
      <c r="C19" s="476">
        <f>'[11]1Q07 TB (ROUNDED)'!$D$413</f>
        <v>5727</v>
      </c>
      <c r="D19" s="909">
        <f>'[11]1Q07 TB (ROUNDED)'!$D$409</f>
        <v>-492</v>
      </c>
      <c r="E19" s="476">
        <v>0</v>
      </c>
      <c r="F19" s="476">
        <v>0</v>
      </c>
      <c r="G19" s="476">
        <f t="shared" si="1"/>
        <v>393870</v>
      </c>
    </row>
    <row r="20" spans="1:8" ht="15" customHeight="1">
      <c r="A20" s="905" t="s">
        <v>124</v>
      </c>
      <c r="B20" s="476">
        <f>'Earned Incurred QTD-4'!$C$39</f>
        <v>1108847</v>
      </c>
      <c r="C20" s="476">
        <v>0</v>
      </c>
      <c r="D20" s="476">
        <v>0</v>
      </c>
      <c r="E20" s="476">
        <v>0</v>
      </c>
      <c r="F20" s="476">
        <v>0</v>
      </c>
      <c r="G20" s="476">
        <f t="shared" si="1"/>
        <v>1108847</v>
      </c>
      <c r="H20" s="254"/>
    </row>
    <row r="21" spans="1:7" ht="15" customHeight="1">
      <c r="A21" s="905" t="s">
        <v>388</v>
      </c>
      <c r="B21" s="476">
        <v>28343</v>
      </c>
      <c r="C21" s="909">
        <v>-4312</v>
      </c>
      <c r="D21" s="476">
        <v>0</v>
      </c>
      <c r="E21" s="476">
        <v>0</v>
      </c>
      <c r="F21" s="476">
        <v>0</v>
      </c>
      <c r="G21" s="476">
        <f>SUM(B21:F21)</f>
        <v>24031</v>
      </c>
    </row>
    <row r="22" spans="1:7" ht="15" customHeight="1" thickBot="1">
      <c r="A22" s="905" t="s">
        <v>115</v>
      </c>
      <c r="B22" s="906">
        <f aca="true" t="shared" si="2" ref="B22:G22">SUM(B13:B21)</f>
        <v>1595934</v>
      </c>
      <c r="C22" s="906">
        <f t="shared" si="2"/>
        <v>2980661</v>
      </c>
      <c r="D22" s="906">
        <f t="shared" si="2"/>
        <v>719790</v>
      </c>
      <c r="E22" s="907">
        <f t="shared" si="2"/>
        <v>-15133</v>
      </c>
      <c r="F22" s="906">
        <f t="shared" si="2"/>
        <v>1889</v>
      </c>
      <c r="G22" s="908">
        <f t="shared" si="2"/>
        <v>5283141</v>
      </c>
    </row>
    <row r="23" spans="1:7" ht="15" customHeight="1" thickTop="1">
      <c r="A23" s="905"/>
      <c r="B23" s="339"/>
      <c r="C23" s="339"/>
      <c r="E23" s="476"/>
      <c r="F23" s="476"/>
      <c r="G23" s="476"/>
    </row>
    <row r="24" spans="1:7" ht="15" customHeight="1" thickBot="1">
      <c r="A24" s="911" t="s">
        <v>125</v>
      </c>
      <c r="B24" s="912">
        <f>B10-B22</f>
        <v>3175738</v>
      </c>
      <c r="C24" s="912">
        <f>C10-C22</f>
        <v>-2962980</v>
      </c>
      <c r="D24" s="912">
        <f>D10-D22</f>
        <v>-724713</v>
      </c>
      <c r="E24" s="912">
        <f>E10-E22</f>
        <v>15133</v>
      </c>
      <c r="F24" s="912">
        <f>F10-F22</f>
        <v>-1889</v>
      </c>
      <c r="G24" s="913">
        <f>SUM(B24:F24)</f>
        <v>-498711</v>
      </c>
    </row>
    <row r="25" spans="1:7" ht="15" customHeight="1" thickTop="1">
      <c r="A25" s="905"/>
      <c r="B25" s="339"/>
      <c r="C25" s="339"/>
      <c r="E25" s="476"/>
      <c r="F25" s="476"/>
      <c r="G25" s="476"/>
    </row>
    <row r="26" spans="1:7" ht="15" customHeight="1">
      <c r="A26" s="899" t="s">
        <v>126</v>
      </c>
      <c r="B26" s="901"/>
      <c r="C26" s="901"/>
      <c r="D26" s="901"/>
      <c r="E26" s="483"/>
      <c r="F26" s="483"/>
      <c r="G26" s="476"/>
    </row>
    <row r="27" spans="1:7" ht="15" customHeight="1">
      <c r="A27" s="905" t="s">
        <v>127</v>
      </c>
      <c r="B27" s="476">
        <v>0</v>
      </c>
      <c r="C27" s="476">
        <f>'Earned Incurred QTD-4'!$B$50</f>
        <v>152540</v>
      </c>
      <c r="D27" s="476">
        <v>0</v>
      </c>
      <c r="E27" s="476">
        <v>0</v>
      </c>
      <c r="F27" s="476">
        <v>0</v>
      </c>
      <c r="G27" s="476">
        <f>SUM(B27:F27)</f>
        <v>152540</v>
      </c>
    </row>
    <row r="28" spans="1:9" ht="15" customHeight="1">
      <c r="A28" s="905" t="s">
        <v>128</v>
      </c>
      <c r="B28" s="476">
        <f>'Balance Sheet-1'!$D$14</f>
        <v>1060566</v>
      </c>
      <c r="C28" s="476">
        <v>0</v>
      </c>
      <c r="D28" s="476">
        <v>0</v>
      </c>
      <c r="E28" s="476">
        <v>0</v>
      </c>
      <c r="F28" s="476">
        <v>0</v>
      </c>
      <c r="G28" s="476">
        <f>SUM(B28:F28)</f>
        <v>1060566</v>
      </c>
      <c r="H28" s="254"/>
      <c r="I28" s="914"/>
    </row>
    <row r="29" spans="1:7" ht="15" customHeight="1" thickBot="1">
      <c r="A29" s="905" t="s">
        <v>115</v>
      </c>
      <c r="B29" s="478">
        <f aca="true" t="shared" si="3" ref="B29:G29">SUM(B27:B28)</f>
        <v>1060566</v>
      </c>
      <c r="C29" s="478">
        <f t="shared" si="3"/>
        <v>152540</v>
      </c>
      <c r="D29" s="478">
        <f t="shared" si="3"/>
        <v>0</v>
      </c>
      <c r="E29" s="478">
        <f t="shared" si="3"/>
        <v>0</v>
      </c>
      <c r="F29" s="478">
        <f t="shared" si="3"/>
        <v>0</v>
      </c>
      <c r="G29" s="908">
        <f t="shared" si="3"/>
        <v>1213106</v>
      </c>
    </row>
    <row r="30" spans="1:7" ht="15" customHeight="1" thickTop="1">
      <c r="A30" s="905"/>
      <c r="B30" s="339"/>
      <c r="C30" s="339"/>
      <c r="E30" s="476"/>
      <c r="F30" s="476"/>
      <c r="G30" s="476"/>
    </row>
    <row r="31" spans="1:7" ht="15" customHeight="1">
      <c r="A31" s="899" t="s">
        <v>129</v>
      </c>
      <c r="B31" s="901"/>
      <c r="C31" s="901"/>
      <c r="D31" s="901"/>
      <c r="E31" s="483"/>
      <c r="F31" s="483"/>
      <c r="G31" s="476"/>
    </row>
    <row r="32" spans="1:7" ht="15" customHeight="1">
      <c r="A32" s="905" t="s">
        <v>130</v>
      </c>
      <c r="B32" s="476">
        <f>'Earned Incurred QTD-4'!$B$49</f>
        <v>120014</v>
      </c>
      <c r="C32" s="476">
        <v>0</v>
      </c>
      <c r="D32" s="476">
        <v>0</v>
      </c>
      <c r="E32" s="476">
        <v>0</v>
      </c>
      <c r="F32" s="476">
        <v>0</v>
      </c>
      <c r="G32" s="476">
        <f>SUM(B32:F32)</f>
        <v>120014</v>
      </c>
    </row>
    <row r="33" spans="1:9" ht="15" customHeight="1">
      <c r="A33" s="905" t="s">
        <v>131</v>
      </c>
      <c r="B33" s="476">
        <v>0</v>
      </c>
      <c r="C33" s="476">
        <v>953434</v>
      </c>
      <c r="D33" s="476">
        <v>0</v>
      </c>
      <c r="E33" s="476">
        <v>0</v>
      </c>
      <c r="F33" s="476">
        <v>0</v>
      </c>
      <c r="G33" s="476">
        <f>SUM(B33:F33)</f>
        <v>953434</v>
      </c>
      <c r="H33" s="254"/>
      <c r="I33" s="914"/>
    </row>
    <row r="34" spans="1:8" ht="15" customHeight="1" thickBot="1">
      <c r="A34" s="905" t="s">
        <v>115</v>
      </c>
      <c r="B34" s="478">
        <f aca="true" t="shared" si="4" ref="B34:G34">SUM(B32:B33)</f>
        <v>120014</v>
      </c>
      <c r="C34" s="478">
        <f t="shared" si="4"/>
        <v>953434</v>
      </c>
      <c r="D34" s="478">
        <f t="shared" si="4"/>
        <v>0</v>
      </c>
      <c r="E34" s="478">
        <f t="shared" si="4"/>
        <v>0</v>
      </c>
      <c r="F34" s="478">
        <f t="shared" si="4"/>
        <v>0</v>
      </c>
      <c r="G34" s="908">
        <f t="shared" si="4"/>
        <v>1073448</v>
      </c>
      <c r="H34" s="254"/>
    </row>
    <row r="35" spans="1:7" ht="15" customHeight="1" thickTop="1">
      <c r="A35" s="905"/>
      <c r="B35" s="339"/>
      <c r="C35" s="339"/>
      <c r="E35" s="476"/>
      <c r="F35" s="476"/>
      <c r="G35" s="485"/>
    </row>
    <row r="36" spans="1:7" ht="15" customHeight="1" thickBot="1">
      <c r="A36" s="899" t="s">
        <v>132</v>
      </c>
      <c r="B36" s="482">
        <f aca="true" t="shared" si="5" ref="B36:G36">B24-B29+B34</f>
        <v>2235186</v>
      </c>
      <c r="C36" s="912">
        <f t="shared" si="5"/>
        <v>-2162086</v>
      </c>
      <c r="D36" s="912">
        <f t="shared" si="5"/>
        <v>-724713</v>
      </c>
      <c r="E36" s="912">
        <f t="shared" si="5"/>
        <v>15133</v>
      </c>
      <c r="F36" s="912">
        <f t="shared" si="5"/>
        <v>-1889</v>
      </c>
      <c r="G36" s="913">
        <f t="shared" si="5"/>
        <v>-638369</v>
      </c>
    </row>
    <row r="37" spans="1:7" ht="15" customHeight="1" thickTop="1">
      <c r="A37" s="905"/>
      <c r="B37" s="339"/>
      <c r="C37" s="339"/>
      <c r="E37" s="476"/>
      <c r="F37" s="476"/>
      <c r="G37" s="476"/>
    </row>
    <row r="38" spans="1:7" ht="15" customHeight="1">
      <c r="A38" s="915" t="s">
        <v>392</v>
      </c>
      <c r="B38" s="916"/>
      <c r="C38" s="916"/>
      <c r="D38" s="916"/>
      <c r="E38" s="476"/>
      <c r="F38" s="476"/>
      <c r="G38" s="476"/>
    </row>
    <row r="39" spans="1:7" ht="15" customHeight="1">
      <c r="A39" s="905" t="s">
        <v>90</v>
      </c>
      <c r="B39" s="476">
        <f>'Premiums QTD-5'!B17</f>
        <v>3912065</v>
      </c>
      <c r="C39" s="476">
        <f>'Premiums QTD-5'!C17</f>
        <v>6005803</v>
      </c>
      <c r="D39" s="476">
        <f>'Premiums QTD-5'!D17</f>
        <v>0</v>
      </c>
      <c r="E39" s="476">
        <f>'Premiums QTD-5'!E17</f>
        <v>0</v>
      </c>
      <c r="F39" s="476">
        <f>'Premiums QTD-5'!F17</f>
        <v>0</v>
      </c>
      <c r="G39" s="476">
        <f>SUM(B39:F39)</f>
        <v>9917868</v>
      </c>
    </row>
    <row r="40" spans="1:7" ht="15" customHeight="1">
      <c r="A40" s="905" t="s">
        <v>133</v>
      </c>
      <c r="B40" s="476">
        <v>440521</v>
      </c>
      <c r="C40" s="476">
        <v>4615114</v>
      </c>
      <c r="D40" s="476">
        <v>348686</v>
      </c>
      <c r="E40" s="476">
        <v>52071</v>
      </c>
      <c r="F40" s="476">
        <v>40000</v>
      </c>
      <c r="G40" s="476">
        <f>SUM(B40:F40)</f>
        <v>5496392</v>
      </c>
    </row>
    <row r="41" spans="1:7" ht="15" customHeight="1">
      <c r="A41" s="905" t="s">
        <v>134</v>
      </c>
      <c r="B41" s="476">
        <f>'Loss Expenses QTD-7'!B18</f>
        <v>43843</v>
      </c>
      <c r="C41" s="476">
        <f>'Loss Expenses QTD-7'!C18</f>
        <v>365173</v>
      </c>
      <c r="D41" s="476">
        <f>'Loss Expenses QTD-7'!D18</f>
        <v>74461</v>
      </c>
      <c r="E41" s="476">
        <f>'Loss Expenses QTD-7'!E18</f>
        <v>17250</v>
      </c>
      <c r="F41" s="476">
        <f>'Loss Expenses QTD-7'!F18</f>
        <v>7408</v>
      </c>
      <c r="G41" s="476">
        <f>SUM(B41:F41)</f>
        <v>508135</v>
      </c>
    </row>
    <row r="42" spans="1:7" ht="15" customHeight="1">
      <c r="A42" s="905" t="s">
        <v>135</v>
      </c>
      <c r="B42" s="476">
        <f>'Earned Incurred QTD-4'!$B$41</f>
        <v>248155</v>
      </c>
      <c r="C42" s="476">
        <v>0</v>
      </c>
      <c r="D42" s="476">
        <v>0</v>
      </c>
      <c r="E42" s="476">
        <v>0</v>
      </c>
      <c r="F42" s="476">
        <v>0</v>
      </c>
      <c r="G42" s="476">
        <f>SUM(B42:F42)</f>
        <v>248155</v>
      </c>
    </row>
    <row r="43" spans="1:7" ht="15" customHeight="1">
      <c r="A43" s="905" t="s">
        <v>136</v>
      </c>
      <c r="B43" s="476">
        <f>'Earned Incurred QTD-4'!$B$33</f>
        <v>42846</v>
      </c>
      <c r="C43" s="476">
        <v>0</v>
      </c>
      <c r="D43" s="476">
        <v>0</v>
      </c>
      <c r="E43" s="476">
        <v>0</v>
      </c>
      <c r="F43" s="476">
        <v>0</v>
      </c>
      <c r="G43" s="476">
        <f>SUM(B43:F43)</f>
        <v>42846</v>
      </c>
    </row>
    <row r="44" spans="1:7" ht="15" customHeight="1" thickBot="1">
      <c r="A44" s="917" t="s">
        <v>115</v>
      </c>
      <c r="B44" s="478">
        <f aca="true" t="shared" si="6" ref="B44:G44">SUM(B39:B43)</f>
        <v>4687430</v>
      </c>
      <c r="C44" s="478">
        <f t="shared" si="6"/>
        <v>10986090</v>
      </c>
      <c r="D44" s="478">
        <f t="shared" si="6"/>
        <v>423147</v>
      </c>
      <c r="E44" s="478">
        <f t="shared" si="6"/>
        <v>69321</v>
      </c>
      <c r="F44" s="478">
        <f t="shared" si="6"/>
        <v>47408</v>
      </c>
      <c r="G44" s="908">
        <f t="shared" si="6"/>
        <v>16213396</v>
      </c>
    </row>
    <row r="45" spans="1:7" ht="15" customHeight="1" thickTop="1">
      <c r="A45" s="905"/>
      <c r="B45" s="339"/>
      <c r="C45" s="339"/>
      <c r="E45" s="476"/>
      <c r="F45" s="476"/>
      <c r="G45" s="476"/>
    </row>
    <row r="46" spans="1:7" ht="15" customHeight="1">
      <c r="A46" s="915" t="s">
        <v>393</v>
      </c>
      <c r="B46" s="916"/>
      <c r="C46" s="916"/>
      <c r="D46" s="916"/>
      <c r="E46" s="476"/>
      <c r="F46" s="476"/>
      <c r="G46" s="476"/>
    </row>
    <row r="47" spans="1:8" ht="15" customHeight="1">
      <c r="A47" s="905" t="s">
        <v>90</v>
      </c>
      <c r="B47" s="476">
        <f>'Premiums QTD-5'!B23</f>
        <v>0</v>
      </c>
      <c r="C47" s="476">
        <f>'Premiums QTD-5'!C23</f>
        <v>10674374</v>
      </c>
      <c r="D47" s="476">
        <f>'Premiums QTD-5'!D23</f>
        <v>0</v>
      </c>
      <c r="E47" s="476">
        <f>'Premiums QTD-5'!E23</f>
        <v>0</v>
      </c>
      <c r="F47" s="476">
        <f>'Premiums QTD-5'!F23</f>
        <v>0</v>
      </c>
      <c r="G47" s="476">
        <f aca="true" t="shared" si="7" ref="G47:G52">SUM(B47:F47)</f>
        <v>10674374</v>
      </c>
      <c r="H47" s="918"/>
    </row>
    <row r="48" spans="1:8" ht="15" customHeight="1">
      <c r="A48" s="905" t="s">
        <v>133</v>
      </c>
      <c r="B48" s="476">
        <f>'Losses Incurred QTD-6'!B32</f>
        <v>0</v>
      </c>
      <c r="C48" s="476">
        <f>'Losses Incurred QTD-6'!C32</f>
        <v>4172808</v>
      </c>
      <c r="D48" s="476">
        <f>'Losses Incurred QTD-6'!D32</f>
        <v>1349356</v>
      </c>
      <c r="E48" s="476">
        <f>'Losses Incurred QTD-6'!E32</f>
        <v>110893</v>
      </c>
      <c r="F48" s="476">
        <f>'Losses Incurred QTD-6'!F32</f>
        <v>75370</v>
      </c>
      <c r="G48" s="476">
        <f t="shared" si="7"/>
        <v>5708427</v>
      </c>
      <c r="H48" s="254"/>
    </row>
    <row r="49" spans="1:8" ht="15" customHeight="1">
      <c r="A49" s="905" t="s">
        <v>137</v>
      </c>
      <c r="B49" s="476">
        <f>'Loss Expenses QTD-7'!B24</f>
        <v>0</v>
      </c>
      <c r="C49" s="476">
        <f>'Loss Expenses QTD-7'!C24</f>
        <v>367013</v>
      </c>
      <c r="D49" s="476">
        <f>'Loss Expenses QTD-7'!D24</f>
        <v>162375</v>
      </c>
      <c r="E49" s="476">
        <f>'Loss Expenses QTD-7'!E24</f>
        <v>31530</v>
      </c>
      <c r="F49" s="476">
        <f>'Loss Expenses QTD-7'!F24</f>
        <v>24160</v>
      </c>
      <c r="G49" s="476">
        <f>SUM(B49:F49)</f>
        <v>585078</v>
      </c>
      <c r="H49" s="254"/>
    </row>
    <row r="50" spans="1:8" ht="15" customHeight="1">
      <c r="A50" s="905" t="s">
        <v>135</v>
      </c>
      <c r="B50" s="476">
        <v>0</v>
      </c>
      <c r="C50" s="476">
        <f>'Earned Incurred QTD-4'!$B$42</f>
        <v>200542</v>
      </c>
      <c r="D50" s="476">
        <v>0</v>
      </c>
      <c r="E50" s="476">
        <v>0</v>
      </c>
      <c r="F50" s="476">
        <v>0</v>
      </c>
      <c r="G50" s="476">
        <f t="shared" si="7"/>
        <v>200542</v>
      </c>
      <c r="H50" s="254"/>
    </row>
    <row r="51" spans="1:8" ht="15" customHeight="1">
      <c r="A51" s="905" t="s">
        <v>136</v>
      </c>
      <c r="B51" s="476">
        <v>0</v>
      </c>
      <c r="C51" s="476">
        <f>'Earned Incurred QTD-4'!$B$34</f>
        <v>53963</v>
      </c>
      <c r="D51" s="476">
        <v>0</v>
      </c>
      <c r="E51" s="476">
        <v>0</v>
      </c>
      <c r="F51" s="476">
        <v>0</v>
      </c>
      <c r="G51" s="476">
        <f t="shared" si="7"/>
        <v>53963</v>
      </c>
      <c r="H51" s="254"/>
    </row>
    <row r="52" spans="1:8" ht="15" customHeight="1" thickBot="1">
      <c r="A52" s="905" t="s">
        <v>115</v>
      </c>
      <c r="B52" s="478">
        <f>SUM(B47:B51)</f>
        <v>0</v>
      </c>
      <c r="C52" s="478">
        <f>SUM(C47:C51)</f>
        <v>15468700</v>
      </c>
      <c r="D52" s="478">
        <f>SUM(D47:D51)</f>
        <v>1511731</v>
      </c>
      <c r="E52" s="478">
        <f>SUM(E47:E51)</f>
        <v>142423</v>
      </c>
      <c r="F52" s="478">
        <f>SUM(F47:F51)</f>
        <v>99530</v>
      </c>
      <c r="G52" s="908">
        <f t="shared" si="7"/>
        <v>17222384</v>
      </c>
      <c r="H52" s="254"/>
    </row>
    <row r="53" spans="1:8" ht="15" customHeight="1" thickTop="1">
      <c r="A53" s="905"/>
      <c r="B53" s="339"/>
      <c r="C53" s="339"/>
      <c r="H53" s="254"/>
    </row>
    <row r="54" spans="1:8" ht="15" customHeight="1" thickBot="1">
      <c r="A54" s="911" t="s">
        <v>138</v>
      </c>
      <c r="B54" s="919">
        <f aca="true" t="shared" si="8" ref="B54:G54">B36-B44+B52</f>
        <v>-2452244</v>
      </c>
      <c r="C54" s="486">
        <f t="shared" si="8"/>
        <v>2320524</v>
      </c>
      <c r="D54" s="486">
        <f t="shared" si="8"/>
        <v>363871</v>
      </c>
      <c r="E54" s="486">
        <f t="shared" si="8"/>
        <v>88235</v>
      </c>
      <c r="F54" s="486">
        <f t="shared" si="8"/>
        <v>50233</v>
      </c>
      <c r="G54" s="486">
        <f t="shared" si="8"/>
        <v>370619</v>
      </c>
      <c r="H54" s="254"/>
    </row>
    <row r="55" spans="2:7" s="749" customFormat="1" ht="15" customHeight="1" thickTop="1">
      <c r="B55" s="751"/>
      <c r="C55" s="751"/>
      <c r="D55" s="764"/>
      <c r="E55" s="764"/>
      <c r="F55" s="764"/>
      <c r="G55" s="748"/>
    </row>
    <row r="56" spans="2:7" s="749" customFormat="1" ht="15" customHeight="1">
      <c r="B56" s="751"/>
      <c r="C56" s="751"/>
      <c r="D56" s="764"/>
      <c r="E56" s="764"/>
      <c r="F56" s="764"/>
      <c r="G56" s="748"/>
    </row>
    <row r="57" spans="2:7" s="749" customFormat="1" ht="15" customHeight="1">
      <c r="B57" s="751"/>
      <c r="C57" s="751"/>
      <c r="D57" s="764"/>
      <c r="E57" s="764"/>
      <c r="F57" s="764"/>
      <c r="G57" s="764"/>
    </row>
    <row r="58" spans="1:7" s="749" customFormat="1" ht="15" customHeight="1">
      <c r="A58" s="750"/>
      <c r="B58" s="765"/>
      <c r="C58" s="765"/>
      <c r="D58" s="764"/>
      <c r="E58" s="764"/>
      <c r="F58" s="764"/>
      <c r="G58" s="764"/>
    </row>
    <row r="59" spans="2:7" s="749" customFormat="1" ht="15" customHeight="1">
      <c r="B59" s="751"/>
      <c r="C59" s="751"/>
      <c r="D59" s="764"/>
      <c r="E59" s="764"/>
      <c r="F59" s="764"/>
      <c r="G59" s="748"/>
    </row>
    <row r="60" spans="2:7" s="749" customFormat="1" ht="15" customHeight="1">
      <c r="B60" s="751"/>
      <c r="C60" s="751"/>
      <c r="D60" s="764"/>
      <c r="E60" s="764"/>
      <c r="F60" s="764"/>
      <c r="G60" s="748"/>
    </row>
    <row r="61" spans="2:7" s="749" customFormat="1" ht="15" customHeight="1">
      <c r="B61" s="751"/>
      <c r="C61" s="751"/>
      <c r="D61" s="764"/>
      <c r="E61" s="764"/>
      <c r="F61" s="764"/>
      <c r="G61" s="748"/>
    </row>
    <row r="62" spans="2:7" s="749" customFormat="1" ht="15" customHeight="1">
      <c r="B62" s="751"/>
      <c r="C62" s="751"/>
      <c r="D62" s="764"/>
      <c r="E62" s="764"/>
      <c r="F62" s="764"/>
      <c r="G62" s="748"/>
    </row>
    <row r="63" spans="2:7" s="749" customFormat="1" ht="15" customHeight="1">
      <c r="B63" s="751"/>
      <c r="C63" s="751"/>
      <c r="D63" s="764"/>
      <c r="E63" s="764"/>
      <c r="F63" s="764"/>
      <c r="G63" s="748"/>
    </row>
    <row r="64" spans="2:7" s="749" customFormat="1" ht="15" customHeight="1">
      <c r="B64" s="751"/>
      <c r="C64" s="751"/>
      <c r="D64" s="764"/>
      <c r="E64" s="764"/>
      <c r="F64" s="764"/>
      <c r="G64" s="748"/>
    </row>
    <row r="65" spans="2:7" s="749" customFormat="1" ht="15" customHeight="1">
      <c r="B65" s="751"/>
      <c r="C65" s="751"/>
      <c r="D65" s="764"/>
      <c r="E65" s="764"/>
      <c r="F65" s="764"/>
      <c r="G65" s="748"/>
    </row>
    <row r="66" spans="2:7" s="749" customFormat="1" ht="15" customHeight="1">
      <c r="B66" s="751"/>
      <c r="C66" s="751"/>
      <c r="D66" s="764"/>
      <c r="E66" s="764"/>
      <c r="F66" s="764"/>
      <c r="G66" s="748"/>
    </row>
    <row r="67" spans="2:7" s="749" customFormat="1" ht="15" customHeight="1">
      <c r="B67" s="751"/>
      <c r="C67" s="751"/>
      <c r="D67" s="764"/>
      <c r="E67" s="764"/>
      <c r="F67" s="764"/>
      <c r="G67" s="748"/>
    </row>
    <row r="68" spans="2:7" s="749" customFormat="1" ht="15" customHeight="1">
      <c r="B68" s="751"/>
      <c r="C68" s="751"/>
      <c r="D68" s="764"/>
      <c r="E68" s="764"/>
      <c r="F68" s="764"/>
      <c r="G68" s="748"/>
    </row>
    <row r="69" spans="2:7" s="749" customFormat="1" ht="15" customHeight="1">
      <c r="B69" s="751"/>
      <c r="C69" s="751"/>
      <c r="D69" s="764"/>
      <c r="E69" s="764"/>
      <c r="F69" s="764"/>
      <c r="G69" s="748"/>
    </row>
    <row r="70" spans="2:7" s="749" customFormat="1" ht="15" customHeight="1">
      <c r="B70" s="751"/>
      <c r="C70" s="751"/>
      <c r="D70" s="764"/>
      <c r="E70" s="764"/>
      <c r="F70" s="764"/>
      <c r="G70" s="748"/>
    </row>
    <row r="71" spans="2:7" s="749" customFormat="1" ht="15" customHeight="1">
      <c r="B71" s="751"/>
      <c r="C71" s="751"/>
      <c r="D71" s="764"/>
      <c r="E71" s="764"/>
      <c r="F71" s="764"/>
      <c r="G71" s="748"/>
    </row>
    <row r="72" spans="2:7" s="749" customFormat="1" ht="15" customHeight="1">
      <c r="B72" s="751"/>
      <c r="C72" s="751"/>
      <c r="D72" s="764"/>
      <c r="E72" s="764"/>
      <c r="F72" s="764"/>
      <c r="G72" s="748"/>
    </row>
    <row r="73" spans="2:7" s="749" customFormat="1" ht="15" customHeight="1">
      <c r="B73" s="751"/>
      <c r="C73" s="751"/>
      <c r="D73" s="764"/>
      <c r="E73" s="764"/>
      <c r="F73" s="764"/>
      <c r="G73" s="748"/>
    </row>
    <row r="74" spans="2:7" s="749" customFormat="1" ht="15" customHeight="1">
      <c r="B74" s="751"/>
      <c r="C74" s="751"/>
      <c r="D74" s="764"/>
      <c r="E74" s="764"/>
      <c r="F74" s="764"/>
      <c r="G74" s="748"/>
    </row>
    <row r="75" spans="2:7" s="749" customFormat="1" ht="15" customHeight="1">
      <c r="B75" s="751"/>
      <c r="C75" s="751"/>
      <c r="D75" s="764"/>
      <c r="E75" s="764"/>
      <c r="F75" s="764"/>
      <c r="G75" s="748"/>
    </row>
    <row r="76" spans="2:7" s="749" customFormat="1" ht="15" customHeight="1">
      <c r="B76" s="751"/>
      <c r="C76" s="751"/>
      <c r="D76" s="764"/>
      <c r="E76" s="764"/>
      <c r="F76" s="764"/>
      <c r="G76" s="748"/>
    </row>
    <row r="77" spans="2:7" s="749" customFormat="1" ht="15" customHeight="1">
      <c r="B77" s="751"/>
      <c r="C77" s="751"/>
      <c r="D77" s="764"/>
      <c r="E77" s="764"/>
      <c r="F77" s="764"/>
      <c r="G77" s="748"/>
    </row>
    <row r="78" spans="2:7" s="749" customFormat="1" ht="15" customHeight="1">
      <c r="B78" s="751"/>
      <c r="C78" s="751"/>
      <c r="D78" s="764"/>
      <c r="E78" s="764"/>
      <c r="F78" s="764"/>
      <c r="G78" s="748"/>
    </row>
    <row r="79" spans="2:7" s="749" customFormat="1" ht="15" customHeight="1">
      <c r="B79" s="751"/>
      <c r="C79" s="751"/>
      <c r="D79" s="764"/>
      <c r="E79" s="764"/>
      <c r="F79" s="764"/>
      <c r="G79" s="748"/>
    </row>
    <row r="80" spans="2:7" s="749" customFormat="1" ht="15" customHeight="1">
      <c r="B80" s="751"/>
      <c r="C80" s="751"/>
      <c r="D80" s="764"/>
      <c r="E80" s="764"/>
      <c r="F80" s="764"/>
      <c r="G80" s="748"/>
    </row>
    <row r="81" spans="2:7" s="749" customFormat="1" ht="15" customHeight="1">
      <c r="B81" s="751"/>
      <c r="C81" s="751"/>
      <c r="D81" s="764"/>
      <c r="E81" s="764"/>
      <c r="F81" s="764"/>
      <c r="G81" s="748"/>
    </row>
    <row r="82" spans="2:7" s="749" customFormat="1" ht="15" customHeight="1">
      <c r="B82" s="751"/>
      <c r="C82" s="751"/>
      <c r="D82" s="764"/>
      <c r="E82" s="764"/>
      <c r="F82" s="764"/>
      <c r="G82" s="748"/>
    </row>
    <row r="83" spans="2:7" s="749" customFormat="1" ht="15" customHeight="1">
      <c r="B83" s="751"/>
      <c r="C83" s="751"/>
      <c r="D83" s="764"/>
      <c r="E83" s="764"/>
      <c r="F83" s="764"/>
      <c r="G83" s="748"/>
    </row>
    <row r="84" spans="2:7" s="749" customFormat="1" ht="15" customHeight="1">
      <c r="B84" s="751"/>
      <c r="C84" s="751"/>
      <c r="D84" s="764"/>
      <c r="E84" s="764"/>
      <c r="F84" s="764"/>
      <c r="G84" s="748"/>
    </row>
    <row r="85" spans="2:7" s="749" customFormat="1" ht="15" customHeight="1">
      <c r="B85" s="751"/>
      <c r="C85" s="751"/>
      <c r="D85" s="764"/>
      <c r="E85" s="764"/>
      <c r="F85" s="764"/>
      <c r="G85" s="748"/>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ddauphin</cp:lastModifiedBy>
  <cp:lastPrinted>2007-05-16T14:57:29Z</cp:lastPrinted>
  <dcterms:created xsi:type="dcterms:W3CDTF">1999-07-28T13:02:54Z</dcterms:created>
  <dcterms:modified xsi:type="dcterms:W3CDTF">2007-05-16T18:18:04Z</dcterms:modified>
  <cp:category/>
  <cp:version/>
  <cp:contentType/>
  <cp:contentStatus/>
</cp:coreProperties>
</file>